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persons/person0.xml" ContentType="application/vnd.ms-excel.person+xml"/>
  <Override PartName="/xl/persons/person1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d0e90c071067115f/EMPRESA/01 - EMPRESA/01 - LICITAÇÕES/2023/01- LICITAÇÕES/08 - AGOSTO/(29.08.23) BRILHANTE - FESG - PR132023 - 40 FUNC. - LIMP 9HS/PROPOSTA/REALINHADA/"/>
    </mc:Choice>
  </mc:AlternateContent>
  <xr:revisionPtr revIDLastSave="4" documentId="13_ncr:1_{C1D4838D-6712-4D0F-8B56-FDBF365091A0}" xr6:coauthVersionLast="47" xr6:coauthVersionMax="47" xr10:uidLastSave="{724D5951-429B-4E59-A235-0123D5451377}"/>
  <bookViews>
    <workbookView xWindow="-120" yWindow="-120" windowWidth="20640" windowHeight="11160" tabRatio="841" activeTab="8" xr2:uid="{00000000-000D-0000-FFFF-FFFF00000000}"/>
  </bookViews>
  <sheets>
    <sheet name="ASG INTERNA" sheetId="23" r:id="rId1"/>
    <sheet name="ASG EXTERNA" sheetId="37" r:id="rId2"/>
    <sheet name="ASG LABORATÓRIO" sheetId="38" r:id="rId3"/>
    <sheet name="ASG ESQUADRIA" sheetId="39" r:id="rId4"/>
    <sheet name="ENCARREGADO" sheetId="36" r:id="rId5"/>
    <sheet name="PRODUTIVIDADE" sheetId="35" r:id="rId6"/>
    <sheet name="Uniforme" sheetId="34" r:id="rId7"/>
    <sheet name="M2" sheetId="32" r:id="rId8"/>
    <sheet name="Resumo" sheetId="33" r:id="rId9"/>
  </sheets>
  <definedNames>
    <definedName name="_xlnm.Print_Area" localSheetId="3">'ASG ESQUADRIA'!$A$1:$D$132</definedName>
    <definedName name="_xlnm.Print_Area" localSheetId="1">'ASG EXTERNA'!$A$1:$D$132</definedName>
    <definedName name="_xlnm.Print_Area" localSheetId="0">'ASG INTERNA'!$A$1:$D$132</definedName>
    <definedName name="_xlnm.Print_Area" localSheetId="2">'ASG LABORATÓRIO'!$A$1:$D$132</definedName>
    <definedName name="_xlnm.Print_Area" localSheetId="4">ENCARREGADO!$A$1:$D$132</definedName>
    <definedName name="_xlnm.Print_Area" localSheetId="8">Resumo!$A$1:$E$115</definedName>
    <definedName name="_xlnm.Print_Area" localSheetId="6">Uniforme!$A$1:$F$9</definedName>
    <definedName name="Excel_BuiltIn_Print_Area_6">#REF!</definedName>
  </definedNames>
  <calcPr calcId="181029"/>
</workbook>
</file>

<file path=xl/calcChain.xml><?xml version="1.0" encoding="utf-8"?>
<calcChain xmlns="http://schemas.openxmlformats.org/spreadsheetml/2006/main">
  <c r="D31" i="37" l="1"/>
  <c r="D31" i="38"/>
  <c r="D31" i="39"/>
  <c r="D31" i="36"/>
  <c r="D31" i="23"/>
  <c r="H137" i="23"/>
  <c r="D6" i="35"/>
  <c r="D5" i="35"/>
  <c r="B111" i="33"/>
  <c r="B105" i="33"/>
  <c r="B99" i="33"/>
  <c r="B93" i="33"/>
  <c r="B87" i="33"/>
  <c r="B81" i="33"/>
  <c r="B75" i="33"/>
  <c r="B69" i="33"/>
  <c r="B63" i="33"/>
  <c r="B57" i="33"/>
  <c r="B51" i="33"/>
  <c r="B45" i="33"/>
  <c r="B39" i="33"/>
  <c r="B33" i="33"/>
  <c r="B27" i="33"/>
  <c r="B21" i="33"/>
  <c r="B15" i="33"/>
  <c r="B9" i="33"/>
  <c r="B110" i="33"/>
  <c r="B109" i="33"/>
  <c r="B108" i="33"/>
  <c r="B104" i="33"/>
  <c r="B103" i="33"/>
  <c r="B102" i="33"/>
  <c r="B98" i="33"/>
  <c r="B97" i="33"/>
  <c r="B96" i="33"/>
  <c r="B92" i="33"/>
  <c r="B91" i="33"/>
  <c r="B90" i="33"/>
  <c r="B86" i="33"/>
  <c r="B85" i="33"/>
  <c r="B84" i="33"/>
  <c r="B80" i="33"/>
  <c r="B79" i="33"/>
  <c r="B78" i="33"/>
  <c r="B74" i="33"/>
  <c r="B73" i="33"/>
  <c r="B72" i="33"/>
  <c r="B68" i="33"/>
  <c r="B67" i="33"/>
  <c r="B66" i="33"/>
  <c r="B62" i="33"/>
  <c r="B61" i="33"/>
  <c r="B60" i="33"/>
  <c r="B56" i="33"/>
  <c r="B55" i="33"/>
  <c r="B54" i="33"/>
  <c r="B50" i="33"/>
  <c r="B49" i="33"/>
  <c r="B48" i="33"/>
  <c r="B44" i="33"/>
  <c r="B43" i="33"/>
  <c r="B42" i="33"/>
  <c r="B38" i="33"/>
  <c r="B37" i="33"/>
  <c r="B36" i="33"/>
  <c r="B32" i="33"/>
  <c r="B31" i="33"/>
  <c r="B30" i="33"/>
  <c r="B26" i="33" l="1"/>
  <c r="B25" i="33"/>
  <c r="B24" i="33"/>
  <c r="B20" i="33"/>
  <c r="B19" i="33"/>
  <c r="B18" i="33"/>
  <c r="B14" i="33"/>
  <c r="B13" i="33"/>
  <c r="B12" i="33"/>
  <c r="B8" i="33"/>
  <c r="B7" i="33"/>
  <c r="B6" i="33"/>
  <c r="B113" i="33" s="1"/>
  <c r="E38" i="32"/>
  <c r="H137" i="39"/>
  <c r="C120" i="39"/>
  <c r="D105" i="39"/>
  <c r="D109" i="39" s="1"/>
  <c r="D129" i="39" s="1"/>
  <c r="D96" i="39"/>
  <c r="D100" i="39" s="1"/>
  <c r="C89" i="39"/>
  <c r="C79" i="39"/>
  <c r="E56" i="39"/>
  <c r="E55" i="39"/>
  <c r="C52" i="39"/>
  <c r="C90" i="39" s="1"/>
  <c r="D27" i="39"/>
  <c r="D73" i="39" s="1"/>
  <c r="C21" i="39"/>
  <c r="H137" i="38"/>
  <c r="C120" i="38"/>
  <c r="D100" i="38"/>
  <c r="D96" i="38"/>
  <c r="C89" i="38"/>
  <c r="C79" i="38"/>
  <c r="D76" i="38"/>
  <c r="D73" i="38"/>
  <c r="D74" i="38" s="1"/>
  <c r="F56" i="38"/>
  <c r="G56" i="38" s="1"/>
  <c r="D56" i="38" s="1"/>
  <c r="D63" i="38" s="1"/>
  <c r="D68" i="38" s="1"/>
  <c r="E56" i="38"/>
  <c r="E55" i="38"/>
  <c r="C52" i="38"/>
  <c r="D77" i="38" s="1"/>
  <c r="D35" i="38"/>
  <c r="D85" i="38" s="1"/>
  <c r="D30" i="38"/>
  <c r="D27" i="38"/>
  <c r="C21" i="38"/>
  <c r="H137" i="37"/>
  <c r="C120" i="37"/>
  <c r="D100" i="37"/>
  <c r="D96" i="37"/>
  <c r="C89" i="37"/>
  <c r="C79" i="37"/>
  <c r="E56" i="37"/>
  <c r="F56" i="37" s="1"/>
  <c r="E55" i="37"/>
  <c r="C52" i="37"/>
  <c r="C90" i="37" s="1"/>
  <c r="D35" i="37"/>
  <c r="D27" i="37"/>
  <c r="D76" i="37" s="1"/>
  <c r="C21" i="37"/>
  <c r="E36" i="32"/>
  <c r="H137" i="36"/>
  <c r="C120" i="36"/>
  <c r="D100" i="36"/>
  <c r="D96" i="36"/>
  <c r="C89" i="36"/>
  <c r="C79" i="36"/>
  <c r="E56" i="36"/>
  <c r="F56" i="36" s="1"/>
  <c r="G56" i="36" s="1"/>
  <c r="D56" i="36" s="1"/>
  <c r="D63" i="36" s="1"/>
  <c r="D68" i="36" s="1"/>
  <c r="E55" i="36"/>
  <c r="C52" i="36"/>
  <c r="D27" i="36"/>
  <c r="D76" i="36" s="1"/>
  <c r="C21" i="36"/>
  <c r="F56" i="23"/>
  <c r="D3" i="35"/>
  <c r="D4" i="35"/>
  <c r="D2" i="35"/>
  <c r="B6" i="35"/>
  <c r="E56" i="23"/>
  <c r="E55" i="23"/>
  <c r="F4" i="34"/>
  <c r="F5" i="34"/>
  <c r="F6" i="34"/>
  <c r="F7" i="34"/>
  <c r="F3" i="34"/>
  <c r="C52" i="23"/>
  <c r="C21" i="23"/>
  <c r="D27" i="23"/>
  <c r="C79" i="23"/>
  <c r="C89" i="23"/>
  <c r="D96" i="23"/>
  <c r="D100" i="23"/>
  <c r="C120" i="23"/>
  <c r="D76" i="23"/>
  <c r="D73" i="23"/>
  <c r="D74" i="23" s="1"/>
  <c r="D74" i="39" l="1"/>
  <c r="D92" i="39"/>
  <c r="C92" i="39"/>
  <c r="D35" i="39"/>
  <c r="F56" i="39"/>
  <c r="G56" i="39" s="1"/>
  <c r="D56" i="39" s="1"/>
  <c r="D63" i="39" s="1"/>
  <c r="D68" i="39" s="1"/>
  <c r="D76" i="39"/>
  <c r="D77" i="39"/>
  <c r="D48" i="38"/>
  <c r="F55" i="38"/>
  <c r="G55" i="38" s="1"/>
  <c r="D45" i="38"/>
  <c r="D83" i="38"/>
  <c r="C90" i="38"/>
  <c r="D125" i="38"/>
  <c r="D39" i="38"/>
  <c r="D46" i="38"/>
  <c r="D49" i="38"/>
  <c r="D78" i="38"/>
  <c r="D84" i="38"/>
  <c r="D88" i="38"/>
  <c r="D51" i="38"/>
  <c r="D86" i="38"/>
  <c r="D87" i="38"/>
  <c r="D40" i="38"/>
  <c r="D44" i="38"/>
  <c r="D47" i="38"/>
  <c r="D50" i="38"/>
  <c r="D75" i="38"/>
  <c r="D86" i="37"/>
  <c r="F55" i="37"/>
  <c r="G55" i="37" s="1"/>
  <c r="D51" i="37"/>
  <c r="D48" i="37"/>
  <c r="D85" i="37"/>
  <c r="D75" i="37"/>
  <c r="D50" i="37"/>
  <c r="D47" i="37"/>
  <c r="D44" i="37"/>
  <c r="D40" i="37"/>
  <c r="D88" i="37"/>
  <c r="D84" i="37"/>
  <c r="D78" i="37"/>
  <c r="D49" i="37"/>
  <c r="D46" i="37"/>
  <c r="D39" i="37"/>
  <c r="D125" i="37"/>
  <c r="D87" i="37"/>
  <c r="D83" i="37"/>
  <c r="D45" i="37"/>
  <c r="C92" i="37"/>
  <c r="D92" i="37"/>
  <c r="G56" i="37"/>
  <c r="D56" i="37" s="1"/>
  <c r="D63" i="37" s="1"/>
  <c r="D68" i="37" s="1"/>
  <c r="D73" i="37"/>
  <c r="D77" i="37"/>
  <c r="C90" i="36"/>
  <c r="C92" i="36" s="1"/>
  <c r="E8" i="34"/>
  <c r="E9" i="34" s="1"/>
  <c r="D73" i="36"/>
  <c r="D77" i="36"/>
  <c r="D74" i="36"/>
  <c r="D35" i="36"/>
  <c r="C90" i="23"/>
  <c r="D92" i="23" s="1"/>
  <c r="G56" i="23"/>
  <c r="D56" i="23" s="1"/>
  <c r="D63" i="23" s="1"/>
  <c r="D68" i="23" s="1"/>
  <c r="D77" i="23"/>
  <c r="D35" i="23"/>
  <c r="D83" i="23" s="1"/>
  <c r="D41" i="38" l="1"/>
  <c r="D66" i="38" s="1"/>
  <c r="D87" i="39"/>
  <c r="D83" i="39"/>
  <c r="D45" i="39"/>
  <c r="D85" i="39"/>
  <c r="D50" i="39"/>
  <c r="D47" i="39"/>
  <c r="D44" i="39"/>
  <c r="D125" i="39"/>
  <c r="D78" i="39"/>
  <c r="D49" i="39"/>
  <c r="D46" i="39"/>
  <c r="D39" i="39"/>
  <c r="D86" i="39"/>
  <c r="F55" i="39"/>
  <c r="G55" i="39" s="1"/>
  <c r="D51" i="39"/>
  <c r="D48" i="39"/>
  <c r="D75" i="39"/>
  <c r="D79" i="39" s="1"/>
  <c r="D127" i="39" s="1"/>
  <c r="D40" i="39"/>
  <c r="D88" i="39"/>
  <c r="D84" i="39"/>
  <c r="D79" i="38"/>
  <c r="D127" i="38" s="1"/>
  <c r="D105" i="36"/>
  <c r="D109" i="36" s="1"/>
  <c r="D129" i="36" s="1"/>
  <c r="D105" i="37"/>
  <c r="D109" i="37" s="1"/>
  <c r="D129" i="37" s="1"/>
  <c r="D105" i="38"/>
  <c r="D109" i="38" s="1"/>
  <c r="D129" i="38" s="1"/>
  <c r="D41" i="37"/>
  <c r="D66" i="37" s="1"/>
  <c r="D89" i="37"/>
  <c r="D90" i="37" s="1"/>
  <c r="D91" i="37" s="1"/>
  <c r="D99" i="37" s="1"/>
  <c r="D101" i="37" s="1"/>
  <c r="D52" i="38"/>
  <c r="D67" i="38" s="1"/>
  <c r="D69" i="38" s="1"/>
  <c r="D126" i="38" s="1"/>
  <c r="D92" i="38"/>
  <c r="C92" i="38"/>
  <c r="D89" i="38"/>
  <c r="D90" i="38" s="1"/>
  <c r="D91" i="38" s="1"/>
  <c r="D128" i="37"/>
  <c r="D74" i="37"/>
  <c r="D79" i="37" s="1"/>
  <c r="D127" i="37" s="1"/>
  <c r="D52" i="37"/>
  <c r="D67" i="37" s="1"/>
  <c r="D69" i="37" s="1"/>
  <c r="D126" i="37" s="1"/>
  <c r="F55" i="23"/>
  <c r="G55" i="23" s="1"/>
  <c r="D85" i="23"/>
  <c r="D39" i="23"/>
  <c r="D41" i="23" s="1"/>
  <c r="D66" i="23" s="1"/>
  <c r="D125" i="23"/>
  <c r="D75" i="23"/>
  <c r="D50" i="23"/>
  <c r="D87" i="23"/>
  <c r="D49" i="23"/>
  <c r="D45" i="23"/>
  <c r="D84" i="23"/>
  <c r="D78" i="23"/>
  <c r="D88" i="23"/>
  <c r="D40" i="23"/>
  <c r="D92" i="36"/>
  <c r="C92" i="23"/>
  <c r="D105" i="23"/>
  <c r="D109" i="23" s="1"/>
  <c r="D129" i="23" s="1"/>
  <c r="D86" i="36"/>
  <c r="F55" i="36"/>
  <c r="G55" i="36" s="1"/>
  <c r="D51" i="36"/>
  <c r="D48" i="36"/>
  <c r="D83" i="36"/>
  <c r="D45" i="36"/>
  <c r="D85" i="36"/>
  <c r="D75" i="36"/>
  <c r="D50" i="36"/>
  <c r="D47" i="36"/>
  <c r="D44" i="36"/>
  <c r="D40" i="36"/>
  <c r="D88" i="36"/>
  <c r="D84" i="36"/>
  <c r="D78" i="36"/>
  <c r="D49" i="36"/>
  <c r="D46" i="36"/>
  <c r="D39" i="36"/>
  <c r="D125" i="36"/>
  <c r="D87" i="36"/>
  <c r="D47" i="23"/>
  <c r="D86" i="23"/>
  <c r="D48" i="23"/>
  <c r="D51" i="23"/>
  <c r="D44" i="23"/>
  <c r="D46" i="23"/>
  <c r="D89" i="39" l="1"/>
  <c r="D90" i="39" s="1"/>
  <c r="D91" i="39" s="1"/>
  <c r="D52" i="39"/>
  <c r="D67" i="39" s="1"/>
  <c r="D41" i="39"/>
  <c r="D66" i="39" s="1"/>
  <c r="D69" i="39" s="1"/>
  <c r="D126" i="39" s="1"/>
  <c r="D79" i="36"/>
  <c r="D127" i="36" s="1"/>
  <c r="D130" i="37"/>
  <c r="D79" i="23"/>
  <c r="D127" i="23" s="1"/>
  <c r="D99" i="38"/>
  <c r="D101" i="38" s="1"/>
  <c r="D128" i="38"/>
  <c r="D130" i="38" s="1"/>
  <c r="D113" i="37"/>
  <c r="D89" i="23"/>
  <c r="D90" i="23" s="1"/>
  <c r="D91" i="23" s="1"/>
  <c r="D128" i="23" s="1"/>
  <c r="D52" i="36"/>
  <c r="D67" i="36" s="1"/>
  <c r="D41" i="36"/>
  <c r="D66" i="36" s="1"/>
  <c r="D89" i="36"/>
  <c r="D90" i="36" s="1"/>
  <c r="D91" i="36" s="1"/>
  <c r="D52" i="23"/>
  <c r="D67" i="23" s="1"/>
  <c r="D69" i="23" s="1"/>
  <c r="D126" i="23" s="1"/>
  <c r="D130" i="23" s="1"/>
  <c r="D99" i="39" l="1"/>
  <c r="D101" i="39" s="1"/>
  <c r="D128" i="39"/>
  <c r="D130" i="39" s="1"/>
  <c r="D69" i="36"/>
  <c r="D126" i="36" s="1"/>
  <c r="D113" i="38"/>
  <c r="D114" i="37"/>
  <c r="H136" i="37" s="1"/>
  <c r="H138" i="37" s="1"/>
  <c r="D99" i="23"/>
  <c r="D101" i="23" s="1"/>
  <c r="D128" i="36"/>
  <c r="D130" i="36" s="1"/>
  <c r="D99" i="36"/>
  <c r="D101" i="36" s="1"/>
  <c r="D113" i="23"/>
  <c r="D114" i="23" s="1"/>
  <c r="H136" i="23" s="1"/>
  <c r="H138" i="23" s="1"/>
  <c r="H139" i="23" s="1"/>
  <c r="D113" i="39" l="1"/>
  <c r="D114" i="39" s="1"/>
  <c r="H136" i="39" s="1"/>
  <c r="H138" i="39" s="1"/>
  <c r="D114" i="38"/>
  <c r="H136" i="38" s="1"/>
  <c r="H138" i="38" s="1"/>
  <c r="D117" i="37"/>
  <c r="H139" i="37"/>
  <c r="D116" i="37"/>
  <c r="D119" i="37"/>
  <c r="D118" i="37"/>
  <c r="D113" i="36"/>
  <c r="D114" i="36" s="1"/>
  <c r="H136" i="36" s="1"/>
  <c r="H138" i="36" s="1"/>
  <c r="D116" i="23"/>
  <c r="D117" i="23"/>
  <c r="D119" i="23"/>
  <c r="D118" i="23"/>
  <c r="D118" i="39" l="1"/>
  <c r="D116" i="39"/>
  <c r="D119" i="39"/>
  <c r="H139" i="39"/>
  <c r="D117" i="39"/>
  <c r="D120" i="37"/>
  <c r="D131" i="37" s="1"/>
  <c r="D132" i="37" s="1"/>
  <c r="H139" i="38"/>
  <c r="D116" i="38"/>
  <c r="D118" i="38"/>
  <c r="D119" i="38"/>
  <c r="D117" i="38"/>
  <c r="D117" i="36"/>
  <c r="D118" i="36"/>
  <c r="H139" i="36"/>
  <c r="D116" i="36"/>
  <c r="D119" i="36"/>
  <c r="D120" i="23"/>
  <c r="D120" i="39" l="1"/>
  <c r="D131" i="39" s="1"/>
  <c r="D132" i="39" s="1"/>
  <c r="E132" i="39" s="1"/>
  <c r="E132" i="37"/>
  <c r="C19" i="32"/>
  <c r="D19" i="32" s="1"/>
  <c r="D131" i="23"/>
  <c r="D132" i="23" s="1"/>
  <c r="D120" i="38"/>
  <c r="D131" i="38" s="1"/>
  <c r="D132" i="38" s="1"/>
  <c r="C28" i="32" s="1"/>
  <c r="D28" i="32" s="1"/>
  <c r="D120" i="36"/>
  <c r="D131" i="36" s="1"/>
  <c r="D132" i="36" s="1"/>
  <c r="E132" i="36" s="1"/>
  <c r="F38" i="32" l="1"/>
  <c r="G38" i="32" s="1"/>
  <c r="E132" i="23"/>
  <c r="C10" i="32"/>
  <c r="D10" i="32" s="1"/>
  <c r="E132" i="38"/>
  <c r="F36" i="32"/>
  <c r="G36" i="32" s="1"/>
  <c r="C17" i="32"/>
  <c r="D17" i="32" s="1"/>
  <c r="D20" i="32" s="1"/>
  <c r="C26" i="32"/>
  <c r="D26" i="32" s="1"/>
  <c r="D29" i="32" s="1"/>
  <c r="C8" i="33" s="1"/>
  <c r="C8" i="32"/>
  <c r="D8" i="32" s="1"/>
  <c r="C104" i="33" l="1"/>
  <c r="E104" i="33" s="1"/>
  <c r="C92" i="33"/>
  <c r="E92" i="33" s="1"/>
  <c r="C80" i="33"/>
  <c r="E80" i="33" s="1"/>
  <c r="C68" i="33"/>
  <c r="E68" i="33" s="1"/>
  <c r="C56" i="33"/>
  <c r="E56" i="33" s="1"/>
  <c r="C44" i="33"/>
  <c r="E44" i="33" s="1"/>
  <c r="C32" i="33"/>
  <c r="E32" i="33" s="1"/>
  <c r="C20" i="33"/>
  <c r="E20" i="33" s="1"/>
  <c r="E8" i="33"/>
  <c r="C110" i="33"/>
  <c r="E110" i="33" s="1"/>
  <c r="C98" i="33"/>
  <c r="E98" i="33" s="1"/>
  <c r="C86" i="33"/>
  <c r="E86" i="33" s="1"/>
  <c r="C74" i="33"/>
  <c r="E74" i="33" s="1"/>
  <c r="C62" i="33"/>
  <c r="E62" i="33" s="1"/>
  <c r="C50" i="33"/>
  <c r="E50" i="33" s="1"/>
  <c r="C38" i="33"/>
  <c r="E38" i="33" s="1"/>
  <c r="C26" i="33"/>
  <c r="E26" i="33" s="1"/>
  <c r="C14" i="33"/>
  <c r="E14" i="33" s="1"/>
  <c r="C103" i="33"/>
  <c r="E103" i="33" s="1"/>
  <c r="C91" i="33"/>
  <c r="E91" i="33" s="1"/>
  <c r="C79" i="33"/>
  <c r="E79" i="33" s="1"/>
  <c r="C67" i="33"/>
  <c r="E67" i="33" s="1"/>
  <c r="C55" i="33"/>
  <c r="E55" i="33" s="1"/>
  <c r="C43" i="33"/>
  <c r="E43" i="33" s="1"/>
  <c r="C31" i="33"/>
  <c r="E31" i="33" s="1"/>
  <c r="C19" i="33"/>
  <c r="E19" i="33" s="1"/>
  <c r="C7" i="33"/>
  <c r="E7" i="33" s="1"/>
  <c r="C109" i="33"/>
  <c r="E109" i="33" s="1"/>
  <c r="C97" i="33"/>
  <c r="E97" i="33" s="1"/>
  <c r="C85" i="33"/>
  <c r="E85" i="33" s="1"/>
  <c r="C73" i="33"/>
  <c r="E73" i="33" s="1"/>
  <c r="C61" i="33"/>
  <c r="E61" i="33" s="1"/>
  <c r="C49" i="33"/>
  <c r="E49" i="33" s="1"/>
  <c r="C37" i="33"/>
  <c r="E37" i="33" s="1"/>
  <c r="C25" i="33"/>
  <c r="E25" i="33" s="1"/>
  <c r="C13" i="33"/>
  <c r="E13" i="33" s="1"/>
  <c r="G40" i="32"/>
  <c r="C69" i="33" s="1"/>
  <c r="E69" i="33" s="1"/>
  <c r="D11" i="32"/>
  <c r="C102" i="33" s="1"/>
  <c r="E102" i="33" s="1"/>
  <c r="C15" i="33"/>
  <c r="E15" i="33" s="1"/>
  <c r="C99" i="33"/>
  <c r="E99" i="33" s="1"/>
  <c r="C48" i="33" l="1"/>
  <c r="E48" i="33" s="1"/>
  <c r="C45" i="33"/>
  <c r="E45" i="33" s="1"/>
  <c r="C12" i="33"/>
  <c r="E12" i="33" s="1"/>
  <c r="D16" i="33" s="1"/>
  <c r="C21" i="33"/>
  <c r="E21" i="33" s="1"/>
  <c r="C78" i="33"/>
  <c r="E78" i="33" s="1"/>
  <c r="C33" i="33"/>
  <c r="E33" i="33" s="1"/>
  <c r="C105" i="33"/>
  <c r="E105" i="33" s="1"/>
  <c r="D106" i="33" s="1"/>
  <c r="C93" i="33"/>
  <c r="E93" i="33" s="1"/>
  <c r="C63" i="33"/>
  <c r="E63" i="33" s="1"/>
  <c r="C66" i="33"/>
  <c r="E66" i="33" s="1"/>
  <c r="D70" i="33" s="1"/>
  <c r="C39" i="33"/>
  <c r="E39" i="33" s="1"/>
  <c r="C36" i="33"/>
  <c r="E36" i="33" s="1"/>
  <c r="C84" i="33"/>
  <c r="E84" i="33" s="1"/>
  <c r="C54" i="33"/>
  <c r="E54" i="33" s="1"/>
  <c r="C6" i="33"/>
  <c r="E6" i="33" s="1"/>
  <c r="C72" i="33"/>
  <c r="E72" i="33" s="1"/>
  <c r="C9" i="33"/>
  <c r="E9" i="33" s="1"/>
  <c r="C75" i="33"/>
  <c r="E75" i="33" s="1"/>
  <c r="C81" i="33"/>
  <c r="E81" i="33" s="1"/>
  <c r="C57" i="33"/>
  <c r="E57" i="33" s="1"/>
  <c r="C27" i="33"/>
  <c r="E27" i="33" s="1"/>
  <c r="C87" i="33"/>
  <c r="E87" i="33" s="1"/>
  <c r="C51" i="33"/>
  <c r="E51" i="33" s="1"/>
  <c r="D52" i="33" s="1"/>
  <c r="C111" i="33"/>
  <c r="E111" i="33" s="1"/>
  <c r="C18" i="33"/>
  <c r="E18" i="33" s="1"/>
  <c r="C108" i="33"/>
  <c r="E108" i="33" s="1"/>
  <c r="C42" i="33"/>
  <c r="E42" i="33" s="1"/>
  <c r="D46" i="33" s="1"/>
  <c r="C90" i="33"/>
  <c r="E90" i="33" s="1"/>
  <c r="D94" i="33" s="1"/>
  <c r="C30" i="33"/>
  <c r="E30" i="33" s="1"/>
  <c r="C96" i="33"/>
  <c r="E96" i="33" s="1"/>
  <c r="D100" i="33" s="1"/>
  <c r="C24" i="33"/>
  <c r="E24" i="33" s="1"/>
  <c r="C60" i="33"/>
  <c r="E60" i="33" s="1"/>
  <c r="D22" i="33" l="1"/>
  <c r="D34" i="33"/>
  <c r="D64" i="33"/>
  <c r="D82" i="33"/>
  <c r="D10" i="33"/>
  <c r="D40" i="33"/>
  <c r="D28" i="33"/>
  <c r="D88" i="33"/>
  <c r="D112" i="33"/>
  <c r="D58" i="33"/>
  <c r="D76" i="33"/>
  <c r="E113" i="33" l="1"/>
  <c r="F129" i="23" s="1"/>
  <c r="D115" i="33" l="1"/>
  <c r="E113" i="38" s="1"/>
  <c r="A115" i="33"/>
  <c r="E113" i="37" l="1"/>
  <c r="E113" i="23"/>
  <c r="E113" i="39"/>
  <c r="E113" i="36"/>
</calcChain>
</file>

<file path=xl/sharedStrings.xml><?xml version="1.0" encoding="utf-8"?>
<sst xmlns="http://schemas.openxmlformats.org/spreadsheetml/2006/main" count="1233" uniqueCount="231">
  <si>
    <t>Planilha de Custos e Formação de Preços</t>
  </si>
  <si>
    <t>DADOS PROCESSUAIS</t>
  </si>
  <si>
    <t>DISCRIMINAÇÃO DOS SERVIÇOS</t>
  </si>
  <si>
    <t>IDENTIFICAÇÃO DOS SERVIÇOS</t>
  </si>
  <si>
    <t>MÓDULO 1 – COMPOSIÇÃO DA REMUNERAÇÃO</t>
  </si>
  <si>
    <t>%</t>
  </si>
  <si>
    <t>A</t>
  </si>
  <si>
    <t>Salário Base</t>
  </si>
  <si>
    <t>B</t>
  </si>
  <si>
    <t>Adicional  de periculosidade</t>
  </si>
  <si>
    <t>C</t>
  </si>
  <si>
    <t xml:space="preserve">Adicional  de insalubridade </t>
  </si>
  <si>
    <t>D</t>
  </si>
  <si>
    <t>E</t>
  </si>
  <si>
    <t>F</t>
  </si>
  <si>
    <t>G</t>
  </si>
  <si>
    <t>H</t>
  </si>
  <si>
    <t>Outros (especificar)</t>
  </si>
  <si>
    <t>Transporte</t>
  </si>
  <si>
    <t>Uniformes</t>
  </si>
  <si>
    <t>Materiais</t>
  </si>
  <si>
    <t>4.1</t>
  </si>
  <si>
    <t>INSS</t>
  </si>
  <si>
    <t>INCRA</t>
  </si>
  <si>
    <t>Salário Educação</t>
  </si>
  <si>
    <t>FGTS</t>
  </si>
  <si>
    <t>SEBRAE</t>
  </si>
  <si>
    <t>TOTAL</t>
  </si>
  <si>
    <t>4.2</t>
  </si>
  <si>
    <t xml:space="preserve">13 º Salário </t>
  </si>
  <si>
    <t>Subtotal</t>
  </si>
  <si>
    <t>Afastamento Maternidade</t>
  </si>
  <si>
    <t>Aviso prévio indenizado</t>
  </si>
  <si>
    <t xml:space="preserve">Aviso prévio trabalhado  </t>
  </si>
  <si>
    <t>Ausência por Acidente de trabalho</t>
  </si>
  <si>
    <t>Custos Indiretos</t>
  </si>
  <si>
    <t>Tributos</t>
  </si>
  <si>
    <t>Lucro</t>
  </si>
  <si>
    <t>RESUMO DOS CUSTOS DE MÃO-DE-OBRA</t>
  </si>
  <si>
    <t>Módulo 1 – Composição da Remuneração</t>
  </si>
  <si>
    <t>Valor</t>
  </si>
  <si>
    <t>VALOR TOTAL POR EMPREGADO</t>
  </si>
  <si>
    <t>Ano do Acordo, Convenção ou Sentença Normativa do Dissídio Coletivo:</t>
  </si>
  <si>
    <t>MÃO DE OBRA VINCULADA À EXECUÇÃO CONTRATUAL</t>
  </si>
  <si>
    <t>1</t>
  </si>
  <si>
    <t>2</t>
  </si>
  <si>
    <t>3</t>
  </si>
  <si>
    <t>4</t>
  </si>
  <si>
    <t>Registro no MTE:</t>
  </si>
  <si>
    <t>Incidência</t>
  </si>
  <si>
    <t>Incidência do FGTS sobre aviso prévio indenizado</t>
  </si>
  <si>
    <t>Valor Tributos</t>
  </si>
  <si>
    <t>(Módulos 1-4 + Custos Indiretos + Lucros)</t>
  </si>
  <si>
    <t>Data do Registro no MTE:</t>
  </si>
  <si>
    <t>Data-base da Categoria:</t>
  </si>
  <si>
    <t>Prazo de Execução Contratual: 12 meses</t>
  </si>
  <si>
    <t xml:space="preserve">Data: </t>
  </si>
  <si>
    <t xml:space="preserve">Empresa: </t>
  </si>
  <si>
    <t xml:space="preserve">CNPJ: </t>
  </si>
  <si>
    <t xml:space="preserve">Data da Apresentação da Proposta: </t>
  </si>
  <si>
    <t xml:space="preserve">Processo nº: </t>
  </si>
  <si>
    <t>Município/UF:</t>
  </si>
  <si>
    <t>Multa sobre FGTS e contribuições sociais sobre o aviso prévio indenizado</t>
  </si>
  <si>
    <t>Incidência dos encargos do submódulo 4.1 sobre aviso prévio trabalhado</t>
  </si>
  <si>
    <t>Multa sobre FGTS e contribuições sociais sobre o aviso prévio trabalhado</t>
  </si>
  <si>
    <t xml:space="preserve">Qtd. Total a Contratar: </t>
  </si>
  <si>
    <t xml:space="preserve">Salário Normativo da Categoria: </t>
  </si>
  <si>
    <t>Adicional de Hora Noturna Reduzida</t>
  </si>
  <si>
    <t>Adicional de Hora Extra no Feriado Trabalhado</t>
  </si>
  <si>
    <t>MÓDULO 2 – ENGARGOS E BENEFÍCIOS ANUAIS, MENAIS E DIÁRIOS</t>
  </si>
  <si>
    <t>2.1</t>
  </si>
  <si>
    <t>13º Salário, Férias e Adicional de Férias</t>
  </si>
  <si>
    <t>Férias e Adicional de Férias</t>
  </si>
  <si>
    <t>2.2</t>
  </si>
  <si>
    <t>GPS, FGTS e outras contribuições</t>
  </si>
  <si>
    <t>SAT - Seguro Acidente do Trabalho</t>
  </si>
  <si>
    <t>SESC ou SESI</t>
  </si>
  <si>
    <t xml:space="preserve">SENAI - SENAC </t>
  </si>
  <si>
    <t>2.3</t>
  </si>
  <si>
    <t>Benefícios Menais e Diários</t>
  </si>
  <si>
    <t>Auxílio-Refeição/Alimentação</t>
  </si>
  <si>
    <t>13° (décimo terceiro) Salário, Férias e Adicional de Férias</t>
  </si>
  <si>
    <t xml:space="preserve">TOTAL </t>
  </si>
  <si>
    <t>MÓDULO 3 – PROVISÃO PARA RESCISÃO</t>
  </si>
  <si>
    <t>MÓDULO 4 – CUSTO DE REPOSIÇÃO DO PROFISSIONAL AUSENTE</t>
  </si>
  <si>
    <t>Ausências Legais</t>
  </si>
  <si>
    <t>Férias</t>
  </si>
  <si>
    <t>Licença Paternidade</t>
  </si>
  <si>
    <t>Intrajornada</t>
  </si>
  <si>
    <t>Intervalo para repouso ou alimentação</t>
  </si>
  <si>
    <t>QUADRO-RESUMO DO MÓDULO 2 - ENCARGOS E BENEFÍCIOS ANUAIS, MENSAIS E DIÁRIOS</t>
  </si>
  <si>
    <t>QUADRO-RESUMO DO MÓDULO 4 - CUSTO DE REPOSIÇÃO DO PROFISSIONAL AUSENTE</t>
  </si>
  <si>
    <t>MÓDULO 5 – INSUMOS DIVERSOS</t>
  </si>
  <si>
    <t>MÓDULO 6 - CUSTOS INDIRETOS, TRIBUTOS E LUCRO</t>
  </si>
  <si>
    <t>C.2  Tributos Estaduais (especificar)</t>
  </si>
  <si>
    <t>C.3  Tributos Municipais (ISS)</t>
  </si>
  <si>
    <t>C.4  Outros tributos (especificar)</t>
  </si>
  <si>
    <t>Módulo 2 – Encargos e Benefícios Anuais, Mensais e Diários</t>
  </si>
  <si>
    <t>Módulo 3 – Provisão para Rescisão</t>
  </si>
  <si>
    <t>Módulo 4 – Custos de Reposição do Profissional Ausente</t>
  </si>
  <si>
    <t>Módulo 5 - Insumos Diversos</t>
  </si>
  <si>
    <t>Subtotal (A + B + C + D + E)</t>
  </si>
  <si>
    <t>Módulo 6 – Custos Indiretos, Tributos e Lucro</t>
  </si>
  <si>
    <t>Tipo de Serviço:</t>
  </si>
  <si>
    <t>Categoria Profissional:</t>
  </si>
  <si>
    <t>Seguro de Vida e Assistência Funeral</t>
  </si>
  <si>
    <t xml:space="preserve">Tipo de Serviço: </t>
  </si>
  <si>
    <t>PREÇO MENSAL UNITÁRIO POR M²</t>
  </si>
  <si>
    <t xml:space="preserve">ÁREA INTERNA </t>
  </si>
  <si>
    <t>MÃO DE OBRA</t>
  </si>
  <si>
    <t>(1 x 2)</t>
  </si>
  <si>
    <t>PRODUTIVIDADE</t>
  </si>
  <si>
    <t>PREÇO HOMEM-MÊS</t>
  </si>
  <si>
    <t>SUBTOTAL</t>
  </si>
  <si>
    <t>(1/m²)</t>
  </si>
  <si>
    <t>(R$)</t>
  </si>
  <si>
    <t>(R$ / m²)</t>
  </si>
  <si>
    <t>ENCARREGADO</t>
  </si>
  <si>
    <t>SERVENTE / DIURNO</t>
  </si>
  <si>
    <t>SUB-TOTAL</t>
  </si>
  <si>
    <t>ÁREA EXTERNA</t>
  </si>
  <si>
    <t>ESQUADRIA EXTERNA - FACE INTERNA/EXTERNA</t>
  </si>
  <si>
    <t>(4) = (1x2x3)</t>
  </si>
  <si>
    <t>(4 x 5)</t>
  </si>
  <si>
    <t xml:space="preserve">FREQUÊNCIA  </t>
  </si>
  <si>
    <t>JORNADA DE TRABALHO</t>
  </si>
  <si>
    <t>MÊS</t>
  </si>
  <si>
    <t>KI</t>
  </si>
  <si>
    <t>(HORAS)</t>
  </si>
  <si>
    <t>(30 x 300)</t>
  </si>
  <si>
    <t>TIPO DE ÁREA</t>
  </si>
  <si>
    <t>QTD SERVENTES</t>
  </si>
  <si>
    <t>PREÇO MENSAL UNITÁRIO</t>
  </si>
  <si>
    <t>ÁREA</t>
  </si>
  <si>
    <t>(R$/m²)</t>
  </si>
  <si>
    <t>(m2)</t>
  </si>
  <si>
    <t>ÁREA INTERNA</t>
  </si>
  <si>
    <t>PERÍODO (MÊS)</t>
  </si>
  <si>
    <t>PREÇO TOTAL</t>
  </si>
  <si>
    <t>limpeza e conservação</t>
  </si>
  <si>
    <t>M²</t>
  </si>
  <si>
    <t>Descrição</t>
  </si>
  <si>
    <t>Valor Total</t>
  </si>
  <si>
    <t>Equipamentos permanente</t>
  </si>
  <si>
    <t>Cesta Básica</t>
  </si>
  <si>
    <t>12 MESES</t>
  </si>
  <si>
    <t>(62) 3932-6669</t>
  </si>
  <si>
    <t xml:space="preserve">Unidade de Medida: </t>
  </si>
  <si>
    <t>Item</t>
  </si>
  <si>
    <t>PAR</t>
  </si>
  <si>
    <t>(30 x 1200)</t>
  </si>
  <si>
    <t>1 / 1200</t>
  </si>
  <si>
    <t>Unid.</t>
  </si>
  <si>
    <t>QDE</t>
  </si>
  <si>
    <t>Valor Unitário</t>
  </si>
  <si>
    <t>Auxilio Creche</t>
  </si>
  <si>
    <t>PAF</t>
  </si>
  <si>
    <t>METRAGEM QUADRADA</t>
  </si>
  <si>
    <t>QUANT MÃO DE OBRA</t>
  </si>
  <si>
    <t>SOMA</t>
  </si>
  <si>
    <t xml:space="preserve">ÁREA EXTERNA </t>
  </si>
  <si>
    <t>LABORATÓRIOS</t>
  </si>
  <si>
    <t>ÁREAS INTERNAS</t>
  </si>
  <si>
    <t>ÁREAS EXTERNAS</t>
  </si>
  <si>
    <t xml:space="preserve">Pregão Presencial Nº: </t>
  </si>
  <si>
    <t>13/2023</t>
  </si>
  <si>
    <t>BRILHANTE ADM E SERVIÇOS</t>
  </si>
  <si>
    <t>12.441.717/0001-58</t>
  </si>
  <si>
    <t>GOIATUBA - GO</t>
  </si>
  <si>
    <t>GO000018/2023</t>
  </si>
  <si>
    <t>10/01/2023</t>
  </si>
  <si>
    <t>2023</t>
  </si>
  <si>
    <t>Amparo Familiar</t>
  </si>
  <si>
    <t>Epi's</t>
  </si>
  <si>
    <t>UNIFORMES</t>
  </si>
  <si>
    <t>CALÇA</t>
  </si>
  <si>
    <t>CAMISETA</t>
  </si>
  <si>
    <t>BOTA</t>
  </si>
  <si>
    <t>MEIA</t>
  </si>
  <si>
    <t>CRACHÁ</t>
  </si>
  <si>
    <t>VALOR TOTAL</t>
  </si>
  <si>
    <t>VALOR MENSAL</t>
  </si>
  <si>
    <t>(30 x 2700)</t>
  </si>
  <si>
    <t>1 / 2700</t>
  </si>
  <si>
    <t>(30 x 450)</t>
  </si>
  <si>
    <t>1 / 450</t>
  </si>
  <si>
    <t>ESQUADRIA</t>
  </si>
  <si>
    <t>RESUMO DE PREÇOS</t>
  </si>
  <si>
    <t>PRODUTIVIDADE MENSAL MÍNIMA IN seges 05/2017</t>
  </si>
  <si>
    <t>CLINICA ODONTOLÓGICA</t>
  </si>
  <si>
    <t>LABORATÓRIO</t>
  </si>
  <si>
    <t>BLOCO 1</t>
  </si>
  <si>
    <t>BLOCO 2</t>
  </si>
  <si>
    <t>BLOCO 3</t>
  </si>
  <si>
    <t>BLOCO 4</t>
  </si>
  <si>
    <t>VALOR MENSAL CLINICA ODONTOLÓGICA</t>
  </si>
  <si>
    <t>VALOR MENSAL BLOCO 1</t>
  </si>
  <si>
    <t>VALOR MENSAL BLOCO 2</t>
  </si>
  <si>
    <t>VALOR MENSAL BLOCO 3</t>
  </si>
  <si>
    <t>VALOR MENSAL BLOCO 4</t>
  </si>
  <si>
    <t>BLOCO 5</t>
  </si>
  <si>
    <t>VALOR MENSAL BLOCO 5</t>
  </si>
  <si>
    <t>BLOCO 6</t>
  </si>
  <si>
    <t>VALOR MENSAL BLOCO 6</t>
  </si>
  <si>
    <t>BLOCO 7</t>
  </si>
  <si>
    <t>VALOR MENSAL BLOCO 7</t>
  </si>
  <si>
    <t>BLOCO 8</t>
  </si>
  <si>
    <t>VALOR MENSAL BLOCO 8</t>
  </si>
  <si>
    <t>BLOCO 9</t>
  </si>
  <si>
    <t>VALOR MENSAL BLOCO 9</t>
  </si>
  <si>
    <t>BLOCO 10</t>
  </si>
  <si>
    <t>VALOR MENSAL BLOCO 10</t>
  </si>
  <si>
    <t>BLOCO 11</t>
  </si>
  <si>
    <t>VALOR MENSAL BLOCO 11</t>
  </si>
  <si>
    <t>BLOCO 12</t>
  </si>
  <si>
    <t>VALOR MENSAL BLOCO 12</t>
  </si>
  <si>
    <t>CORREDOR ENTRE BLOCOS</t>
  </si>
  <si>
    <t>VALOR MENSAL CORREDOR ENTRE BLOCOS</t>
  </si>
  <si>
    <t>NOVO NPJ</t>
  </si>
  <si>
    <t>VALOR MENSAL NPJ</t>
  </si>
  <si>
    <t>LABITEC 1 E 2</t>
  </si>
  <si>
    <t>VALOR MENSAL LABITEC 1 E 2</t>
  </si>
  <si>
    <t>HOSPITAL</t>
  </si>
  <si>
    <t>VALOR MENSAL HOSPITAL</t>
  </si>
  <si>
    <t>ANEXO CENTRO DE LINGUAS</t>
  </si>
  <si>
    <t>VALOR MENSAL ANEXO CENTRO DE LINGUAS</t>
  </si>
  <si>
    <t>ESQUADRIAS (QUINZENAL)</t>
  </si>
  <si>
    <t>Adicional Noturno (Salário/220)*20%*Qntd. De horas noturnas.</t>
  </si>
  <si>
    <t>01/09/2023</t>
  </si>
  <si>
    <t>TOTAL MENSAL</t>
  </si>
  <si>
    <t>C.1  Tributos Federais (PIS + COFINS) PIS 1,20% COFINS 5,54%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</si>
</sst>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mmm/yyyy"/>
    <numFmt numFmtId="166" formatCode="dd/mm/yy"/>
    <numFmt numFmtId="167" formatCode="[$R$-416]\ #,##0.00;[Red]\-[$R$-416]\ #,##0.00"/>
    <numFmt numFmtId="168" formatCode="&quot;R$ &quot;#,##0.00;[Red]&quot;R$ &quot;#,##0.00"/>
    <numFmt numFmtId="169" formatCode="[$R$-416]#,##0.00;[Red]\-[$R$-416]#,##0.00"/>
    <numFmt numFmtId="170" formatCode="&quot;R$&quot;\ #,##0.00"/>
    <numFmt numFmtId="171" formatCode="0.0000"/>
    <numFmt numFmtId="172" formatCode="0\ ;\(0\)"/>
    <numFmt numFmtId="173" formatCode="0.00000000"/>
    <numFmt numFmtId="174" formatCode="0.000000"/>
  </numFmts>
  <fonts count="21" x14ac:knownFonts="1">
    <font>
      <sz val="10"/>
      <name val="Arial"/>
      <family val="2"/>
    </font>
    <font>
      <sz val="10"/>
      <name val="Arial"/>
    </font>
    <font>
      <sz val="10"/>
      <name val="Calibri"/>
      <family val="2"/>
      <charset val="1"/>
    </font>
    <font>
      <b/>
      <sz val="10"/>
      <name val="Calibri"/>
      <family val="2"/>
      <charset val="1"/>
    </font>
    <font>
      <b/>
      <sz val="10"/>
      <color indexed="8"/>
      <name val="Calibri"/>
      <family val="2"/>
      <charset val="1"/>
    </font>
    <font>
      <sz val="10"/>
      <color indexed="8"/>
      <name val="Calibri"/>
      <family val="2"/>
      <charset val="1"/>
    </font>
    <font>
      <b/>
      <sz val="18"/>
      <color indexed="8"/>
      <name val="Calibri"/>
      <family val="2"/>
      <charset val="1"/>
    </font>
    <font>
      <sz val="10"/>
      <color indexed="8"/>
      <name val="Arial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sz val="10"/>
      <name val="Arial"/>
      <family val="2"/>
    </font>
    <font>
      <b/>
      <sz val="10"/>
      <name val="Calibri"/>
      <family val="2"/>
    </font>
    <font>
      <b/>
      <sz val="15"/>
      <color indexed="56"/>
      <name val="Calibri"/>
      <family val="2"/>
    </font>
    <font>
      <sz val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rgb="FFFF0000"/>
      <name val="Calibri"/>
      <family val="2"/>
      <charset val="1"/>
    </font>
    <font>
      <sz val="8"/>
      <color rgb="FF000000"/>
      <name val="Verdana"/>
      <family val="2"/>
    </font>
    <font>
      <sz val="11"/>
      <color rgb="FF000000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50"/>
        <b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13"/>
        <bgColor indexed="34"/>
      </patternFill>
    </fill>
    <fill>
      <patternFill patternType="solid">
        <fgColor indexed="23"/>
        <bgColor indexed="55"/>
      </patternFill>
    </fill>
    <fill>
      <patternFill patternType="solid">
        <fgColor indexed="22"/>
        <bgColor indexed="31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F0"/>
        <bgColor indexed="34"/>
      </patternFill>
    </fill>
    <fill>
      <patternFill patternType="solid">
        <fgColor rgb="FF00B0F0"/>
        <bgColor indexed="27"/>
      </patternFill>
    </fill>
    <fill>
      <patternFill patternType="solid">
        <fgColor rgb="FF00B0F0"/>
        <bgColor indexed="31"/>
      </patternFill>
    </fill>
    <fill>
      <patternFill patternType="solid">
        <fgColor theme="1" tint="0.499984740745262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31"/>
      </patternFill>
    </fill>
    <fill>
      <patternFill patternType="solid">
        <fgColor theme="0" tint="-0.249977111117893"/>
        <bgColor indexed="27"/>
      </patternFill>
    </fill>
    <fill>
      <patternFill patternType="solid">
        <fgColor theme="5" tint="0.39997558519241921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double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double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</borders>
  <cellStyleXfs count="5">
    <xf numFmtId="0" fontId="0" fillId="0" borderId="0"/>
    <xf numFmtId="164" fontId="1" fillId="0" borderId="0" applyFill="0" applyBorder="0" applyAlignment="0" applyProtection="0"/>
    <xf numFmtId="9" fontId="10" fillId="0" borderId="0" applyFill="0" applyBorder="0" applyAlignment="0" applyProtection="0"/>
    <xf numFmtId="0" fontId="12" fillId="0" borderId="1" applyNumberFormat="0" applyFill="0" applyAlignment="0" applyProtection="0"/>
    <xf numFmtId="43" fontId="10" fillId="0" borderId="0" applyFont="0" applyFill="0" applyBorder="0" applyAlignment="0" applyProtection="0"/>
  </cellStyleXfs>
  <cellXfs count="26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justify" vertical="center" wrapText="1"/>
    </xf>
    <xf numFmtId="0" fontId="3" fillId="0" borderId="0" xfId="0" applyFont="1"/>
    <xf numFmtId="0" fontId="3" fillId="0" borderId="0" xfId="0" applyFont="1" applyAlignment="1">
      <alignment horizontal="justify" vertical="center" wrapText="1"/>
    </xf>
    <xf numFmtId="49" fontId="5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justify" vertical="center" wrapText="1"/>
    </xf>
    <xf numFmtId="49" fontId="5" fillId="0" borderId="2" xfId="0" applyNumberFormat="1" applyFont="1" applyBorder="1" applyAlignment="1">
      <alignment vertical="center"/>
    </xf>
    <xf numFmtId="165" fontId="4" fillId="0" borderId="2" xfId="0" applyNumberFormat="1" applyFont="1" applyBorder="1" applyAlignment="1">
      <alignment horizontal="justify" vertical="center" wrapText="1"/>
    </xf>
    <xf numFmtId="0" fontId="5" fillId="0" borderId="0" xfId="0" applyFont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5" fillId="0" borderId="3" xfId="0" applyFont="1" applyBorder="1" applyAlignment="1">
      <alignment horizontal="center"/>
    </xf>
    <xf numFmtId="10" fontId="5" fillId="0" borderId="3" xfId="0" applyNumberFormat="1" applyFont="1" applyBorder="1" applyAlignment="1">
      <alignment horizontal="center" vertical="center" wrapText="1"/>
    </xf>
    <xf numFmtId="167" fontId="5" fillId="0" borderId="3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7" fontId="4" fillId="0" borderId="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167" fontId="8" fillId="0" borderId="3" xfId="0" applyNumberFormat="1" applyFont="1" applyBorder="1" applyAlignment="1">
      <alignment horizontal="center" vertical="center" wrapText="1"/>
    </xf>
    <xf numFmtId="167" fontId="4" fillId="0" borderId="0" xfId="0" applyNumberFormat="1" applyFont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 wrapText="1"/>
    </xf>
    <xf numFmtId="167" fontId="5" fillId="0" borderId="7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167" fontId="8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168" fontId="8" fillId="0" borderId="3" xfId="0" applyNumberFormat="1" applyFont="1" applyBorder="1" applyAlignment="1">
      <alignment horizontal="center"/>
    </xf>
    <xf numFmtId="0" fontId="8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5" fillId="0" borderId="4" xfId="0" applyFont="1" applyBorder="1" applyAlignment="1">
      <alignment vertical="center" wrapText="1"/>
    </xf>
    <xf numFmtId="0" fontId="8" fillId="0" borderId="7" xfId="0" applyFont="1" applyBorder="1" applyAlignment="1">
      <alignment horizontal="center" vertical="center" wrapText="1"/>
    </xf>
    <xf numFmtId="10" fontId="5" fillId="0" borderId="7" xfId="0" applyNumberFormat="1" applyFont="1" applyBorder="1" applyAlignment="1">
      <alignment horizontal="center" vertical="center" wrapText="1"/>
    </xf>
    <xf numFmtId="10" fontId="5" fillId="0" borderId="7" xfId="0" applyNumberFormat="1" applyFont="1" applyBorder="1" applyAlignment="1">
      <alignment horizontal="center"/>
    </xf>
    <xf numFmtId="10" fontId="4" fillId="0" borderId="7" xfId="0" applyNumberFormat="1" applyFont="1" applyBorder="1" applyAlignment="1">
      <alignment horizontal="center" vertical="center"/>
    </xf>
    <xf numFmtId="10" fontId="5" fillId="0" borderId="6" xfId="0" applyNumberFormat="1" applyFont="1" applyBorder="1" applyAlignment="1">
      <alignment horizontal="center" vertical="center" wrapText="1"/>
    </xf>
    <xf numFmtId="167" fontId="5" fillId="0" borderId="7" xfId="0" applyNumberFormat="1" applyFont="1" applyBorder="1" applyAlignment="1">
      <alignment horizontal="right" vertical="center" wrapText="1"/>
    </xf>
    <xf numFmtId="167" fontId="4" fillId="0" borderId="7" xfId="0" applyNumberFormat="1" applyFont="1" applyBorder="1" applyAlignment="1">
      <alignment horizontal="right" vertical="center" wrapText="1"/>
    </xf>
    <xf numFmtId="49" fontId="5" fillId="0" borderId="0" xfId="0" applyNumberFormat="1" applyFont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11" fillId="0" borderId="0" xfId="0" applyFont="1" applyAlignment="1">
      <alignment horizontal="justify" vertical="center" wrapText="1"/>
    </xf>
    <xf numFmtId="167" fontId="11" fillId="0" borderId="0" xfId="0" applyNumberFormat="1" applyFont="1" applyAlignment="1">
      <alignment horizontal="justify" vertical="center" wrapText="1"/>
    </xf>
    <xf numFmtId="0" fontId="2" fillId="0" borderId="0" xfId="0" applyFont="1" applyAlignment="1">
      <alignment horizontal="left" vertical="center"/>
    </xf>
    <xf numFmtId="10" fontId="11" fillId="0" borderId="0" xfId="0" applyNumberFormat="1" applyFont="1" applyAlignment="1">
      <alignment horizontal="justify" vertical="center" wrapText="1"/>
    </xf>
    <xf numFmtId="167" fontId="5" fillId="0" borderId="3" xfId="0" applyNumberFormat="1" applyFont="1" applyBorder="1" applyAlignment="1">
      <alignment horizontal="center"/>
    </xf>
    <xf numFmtId="164" fontId="1" fillId="0" borderId="7" xfId="1" applyFill="1" applyBorder="1" applyAlignment="1">
      <alignment horizontal="center" vertical="center" wrapText="1"/>
    </xf>
    <xf numFmtId="164" fontId="1" fillId="0" borderId="3" xfId="1" applyFill="1" applyBorder="1" applyAlignment="1">
      <alignment horizontal="center" vertical="center" wrapText="1"/>
    </xf>
    <xf numFmtId="0" fontId="4" fillId="0" borderId="7" xfId="0" applyFont="1" applyBorder="1" applyAlignment="1">
      <alignment vertical="center"/>
    </xf>
    <xf numFmtId="0" fontId="5" fillId="0" borderId="4" xfId="0" applyFont="1" applyBorder="1" applyAlignment="1">
      <alignment horizontal="center"/>
    </xf>
    <xf numFmtId="164" fontId="8" fillId="0" borderId="3" xfId="0" applyNumberFormat="1" applyFont="1" applyBorder="1" applyAlignment="1">
      <alignment horizontal="center" vertical="center" wrapText="1"/>
    </xf>
    <xf numFmtId="170" fontId="0" fillId="0" borderId="0" xfId="0" applyNumberFormat="1"/>
    <xf numFmtId="170" fontId="3" fillId="0" borderId="0" xfId="0" applyNumberFormat="1" applyFont="1" applyAlignment="1">
      <alignment horizontal="justify" vertical="center" wrapText="1"/>
    </xf>
    <xf numFmtId="169" fontId="3" fillId="0" borderId="0" xfId="0" applyNumberFormat="1" applyFont="1"/>
    <xf numFmtId="0" fontId="5" fillId="0" borderId="6" xfId="0" applyFont="1" applyBorder="1" applyAlignment="1">
      <alignment horizontal="left"/>
    </xf>
    <xf numFmtId="2" fontId="0" fillId="0" borderId="0" xfId="0" applyNumberFormat="1"/>
    <xf numFmtId="10" fontId="18" fillId="0" borderId="3" xfId="0" applyNumberFormat="1" applyFont="1" applyBorder="1" applyAlignment="1">
      <alignment horizontal="center" vertical="center" wrapText="1"/>
    </xf>
    <xf numFmtId="167" fontId="18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13" fillId="0" borderId="0" xfId="0" applyFont="1" applyAlignment="1">
      <alignment vertical="center"/>
    </xf>
    <xf numFmtId="0" fontId="13" fillId="0" borderId="0" xfId="0" applyFont="1"/>
    <xf numFmtId="0" fontId="15" fillId="2" borderId="8" xfId="0" applyFont="1" applyFill="1" applyBorder="1" applyAlignment="1">
      <alignment vertical="center"/>
    </xf>
    <xf numFmtId="0" fontId="13" fillId="0" borderId="9" xfId="0" applyFont="1" applyBorder="1" applyAlignment="1">
      <alignment vertical="center"/>
    </xf>
    <xf numFmtId="0" fontId="13" fillId="0" borderId="10" xfId="0" applyFont="1" applyBorder="1" applyAlignment="1">
      <alignment vertical="center"/>
    </xf>
    <xf numFmtId="172" fontId="15" fillId="3" borderId="11" xfId="0" applyNumberFormat="1" applyFont="1" applyFill="1" applyBorder="1" applyAlignment="1">
      <alignment horizontal="center" vertical="center"/>
    </xf>
    <xf numFmtId="172" fontId="15" fillId="3" borderId="0" xfId="0" applyNumberFormat="1" applyFont="1" applyFill="1" applyAlignment="1">
      <alignment horizontal="center" vertical="center"/>
    </xf>
    <xf numFmtId="0" fontId="15" fillId="3" borderId="12" xfId="0" applyFont="1" applyFill="1" applyBorder="1" applyAlignment="1">
      <alignment horizontal="center" vertical="center"/>
    </xf>
    <xf numFmtId="0" fontId="15" fillId="3" borderId="13" xfId="0" applyFont="1" applyFill="1" applyBorder="1" applyAlignment="1">
      <alignment horizontal="center" vertical="center"/>
    </xf>
    <xf numFmtId="0" fontId="15" fillId="3" borderId="0" xfId="0" applyFont="1" applyFill="1" applyAlignment="1">
      <alignment horizontal="center" vertical="center"/>
    </xf>
    <xf numFmtId="0" fontId="15" fillId="3" borderId="14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3" borderId="15" xfId="0" applyFont="1" applyFill="1" applyBorder="1" applyAlignment="1">
      <alignment horizontal="center" vertical="center"/>
    </xf>
    <xf numFmtId="0" fontId="15" fillId="3" borderId="16" xfId="0" applyFont="1" applyFill="1" applyBorder="1" applyAlignment="1">
      <alignment horizontal="center" vertical="center"/>
    </xf>
    <xf numFmtId="0" fontId="15" fillId="3" borderId="17" xfId="0" applyFont="1" applyFill="1" applyBorder="1" applyAlignment="1">
      <alignment horizontal="center" vertical="center"/>
    </xf>
    <xf numFmtId="0" fontId="15" fillId="4" borderId="18" xfId="0" applyFont="1" applyFill="1" applyBorder="1" applyAlignment="1">
      <alignment horizontal="center" vertical="center"/>
    </xf>
    <xf numFmtId="164" fontId="15" fillId="5" borderId="19" xfId="1" applyFont="1" applyFill="1" applyBorder="1" applyAlignment="1" applyProtection="1">
      <alignment horizontal="center" vertical="center"/>
      <protection locked="0"/>
    </xf>
    <xf numFmtId="164" fontId="15" fillId="4" borderId="14" xfId="1" applyFont="1" applyFill="1" applyBorder="1" applyAlignment="1">
      <alignment horizontal="center" vertical="center"/>
    </xf>
    <xf numFmtId="0" fontId="15" fillId="4" borderId="20" xfId="0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horizontal="center" vertical="center"/>
    </xf>
    <xf numFmtId="171" fontId="15" fillId="6" borderId="21" xfId="0" applyNumberFormat="1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vertical="center"/>
    </xf>
    <xf numFmtId="0" fontId="15" fillId="4" borderId="22" xfId="0" applyFont="1" applyFill="1" applyBorder="1" applyAlignment="1">
      <alignment horizontal="center" vertical="center"/>
    </xf>
    <xf numFmtId="164" fontId="15" fillId="5" borderId="23" xfId="1" applyFont="1" applyFill="1" applyBorder="1" applyAlignment="1" applyProtection="1">
      <alignment horizontal="center" vertical="center"/>
      <protection locked="0"/>
    </xf>
    <xf numFmtId="0" fontId="15" fillId="7" borderId="24" xfId="0" applyFont="1" applyFill="1" applyBorder="1" applyAlignment="1">
      <alignment horizontal="center" vertical="center"/>
    </xf>
    <xf numFmtId="164" fontId="15" fillId="7" borderId="25" xfId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71" fontId="15" fillId="0" borderId="0" xfId="0" applyNumberFormat="1" applyFont="1" applyAlignment="1">
      <alignment horizontal="center" vertical="center"/>
    </xf>
    <xf numFmtId="0" fontId="15" fillId="4" borderId="26" xfId="0" applyFont="1" applyFill="1" applyBorder="1" applyAlignment="1">
      <alignment horizontal="justify" vertical="center"/>
    </xf>
    <xf numFmtId="4" fontId="15" fillId="5" borderId="19" xfId="0" applyNumberFormat="1" applyFont="1" applyFill="1" applyBorder="1" applyAlignment="1" applyProtection="1">
      <alignment horizontal="center" vertical="center"/>
      <protection locked="0"/>
    </xf>
    <xf numFmtId="0" fontId="13" fillId="4" borderId="27" xfId="0" applyFont="1" applyFill="1" applyBorder="1" applyAlignment="1">
      <alignment vertical="center"/>
    </xf>
    <xf numFmtId="164" fontId="15" fillId="6" borderId="21" xfId="1" applyFont="1" applyFill="1" applyBorder="1" applyAlignment="1">
      <alignment horizontal="center" vertical="center"/>
    </xf>
    <xf numFmtId="49" fontId="15" fillId="4" borderId="22" xfId="0" applyNumberFormat="1" applyFont="1" applyFill="1" applyBorder="1" applyAlignment="1">
      <alignment horizontal="center" vertical="center"/>
    </xf>
    <xf numFmtId="4" fontId="15" fillId="5" borderId="23" xfId="0" applyNumberFormat="1" applyFont="1" applyFill="1" applyBorder="1" applyAlignment="1" applyProtection="1">
      <alignment horizontal="center" vertical="center"/>
      <protection locked="0"/>
    </xf>
    <xf numFmtId="1" fontId="15" fillId="4" borderId="19" xfId="0" applyNumberFormat="1" applyFont="1" applyFill="1" applyBorder="1" applyAlignment="1">
      <alignment horizontal="center" vertical="center"/>
    </xf>
    <xf numFmtId="37" fontId="15" fillId="4" borderId="28" xfId="0" applyNumberFormat="1" applyFont="1" applyFill="1" applyBorder="1" applyAlignment="1">
      <alignment horizontal="center" vertical="center"/>
    </xf>
    <xf numFmtId="173" fontId="15" fillId="4" borderId="26" xfId="0" applyNumberFormat="1" applyFont="1" applyFill="1" applyBorder="1" applyAlignment="1">
      <alignment horizontal="center" vertical="center"/>
    </xf>
    <xf numFmtId="164" fontId="15" fillId="4" borderId="29" xfId="1" applyFont="1" applyFill="1" applyBorder="1" applyAlignment="1">
      <alignment horizontal="center" vertical="center"/>
    </xf>
    <xf numFmtId="2" fontId="15" fillId="4" borderId="21" xfId="0" applyNumberFormat="1" applyFont="1" applyFill="1" applyBorder="1" applyAlignment="1">
      <alignment horizontal="center" vertical="center"/>
    </xf>
    <xf numFmtId="0" fontId="15" fillId="6" borderId="20" xfId="0" applyFont="1" applyFill="1" applyBorder="1" applyAlignment="1">
      <alignment horizontal="center" vertical="center"/>
    </xf>
    <xf numFmtId="0" fontId="15" fillId="4" borderId="30" xfId="0" applyFont="1" applyFill="1" applyBorder="1" applyAlignment="1">
      <alignment vertical="center"/>
    </xf>
    <xf numFmtId="0" fontId="15" fillId="4" borderId="31" xfId="0" applyFont="1" applyFill="1" applyBorder="1" applyAlignment="1">
      <alignment horizontal="center" vertical="center"/>
    </xf>
    <xf numFmtId="1" fontId="15" fillId="4" borderId="32" xfId="0" applyNumberFormat="1" applyFont="1" applyFill="1" applyBorder="1" applyAlignment="1">
      <alignment horizontal="center" vertical="center"/>
    </xf>
    <xf numFmtId="1" fontId="15" fillId="4" borderId="14" xfId="0" applyNumberFormat="1" applyFont="1" applyFill="1" applyBorder="1" applyAlignment="1">
      <alignment horizontal="center" vertical="center"/>
    </xf>
    <xf numFmtId="174" fontId="15" fillId="4" borderId="26" xfId="0" applyNumberFormat="1" applyFont="1" applyFill="1" applyBorder="1" applyAlignment="1">
      <alignment horizontal="center" vertical="center"/>
    </xf>
    <xf numFmtId="0" fontId="15" fillId="6" borderId="33" xfId="0" applyFont="1" applyFill="1" applyBorder="1" applyAlignment="1">
      <alignment horizontal="center" vertical="center"/>
    </xf>
    <xf numFmtId="4" fontId="15" fillId="4" borderId="25" xfId="0" applyNumberFormat="1" applyFont="1" applyFill="1" applyBorder="1" applyAlignment="1">
      <alignment horizontal="center" vertical="center"/>
    </xf>
    <xf numFmtId="0" fontId="15" fillId="6" borderId="22" xfId="0" applyFont="1" applyFill="1" applyBorder="1" applyAlignment="1">
      <alignment horizontal="center" vertical="center"/>
    </xf>
    <xf numFmtId="0" fontId="15" fillId="6" borderId="34" xfId="0" applyFont="1" applyFill="1" applyBorder="1" applyAlignment="1">
      <alignment horizontal="center" vertical="center"/>
    </xf>
    <xf numFmtId="0" fontId="15" fillId="0" borderId="35" xfId="0" applyFont="1" applyBorder="1" applyAlignment="1">
      <alignment horizontal="center" vertical="center"/>
    </xf>
    <xf numFmtId="4" fontId="15" fillId="0" borderId="35" xfId="0" applyNumberFormat="1" applyFont="1" applyBorder="1" applyAlignment="1">
      <alignment horizontal="center" vertical="center"/>
    </xf>
    <xf numFmtId="0" fontId="15" fillId="7" borderId="36" xfId="0" applyFont="1" applyFill="1" applyBorder="1" applyAlignment="1">
      <alignment horizontal="center" vertical="center"/>
    </xf>
    <xf numFmtId="164" fontId="15" fillId="7" borderId="37" xfId="1" applyFont="1" applyFill="1" applyBorder="1" applyAlignment="1">
      <alignment horizontal="center" vertical="center"/>
    </xf>
    <xf numFmtId="164" fontId="1" fillId="0" borderId="0" xfId="1"/>
    <xf numFmtId="170" fontId="3" fillId="0" borderId="0" xfId="0" applyNumberFormat="1" applyFont="1"/>
    <xf numFmtId="167" fontId="5" fillId="11" borderId="3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4" fillId="0" borderId="6" xfId="0" applyFont="1" applyBorder="1" applyAlignment="1">
      <alignment vertical="center"/>
    </xf>
    <xf numFmtId="10" fontId="4" fillId="0" borderId="3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 wrapText="1"/>
    </xf>
    <xf numFmtId="167" fontId="2" fillId="0" borderId="0" xfId="0" applyNumberFormat="1" applyFont="1" applyAlignment="1">
      <alignment horizontal="justify" vertical="center" wrapText="1"/>
    </xf>
    <xf numFmtId="167" fontId="5" fillId="12" borderId="3" xfId="0" applyNumberFormat="1" applyFont="1" applyFill="1" applyBorder="1" applyAlignment="1">
      <alignment horizontal="center" vertical="center" wrapText="1"/>
    </xf>
    <xf numFmtId="167" fontId="18" fillId="12" borderId="3" xfId="0" applyNumberFormat="1" applyFont="1" applyFill="1" applyBorder="1" applyAlignment="1">
      <alignment horizontal="center" vertical="center" wrapText="1"/>
    </xf>
    <xf numFmtId="10" fontId="2" fillId="0" borderId="0" xfId="0" applyNumberFormat="1" applyFont="1" applyAlignment="1">
      <alignment horizontal="justify" vertical="center" wrapText="1"/>
    </xf>
    <xf numFmtId="0" fontId="0" fillId="12" borderId="0" xfId="0" applyFill="1"/>
    <xf numFmtId="0" fontId="5" fillId="12" borderId="4" xfId="0" applyFont="1" applyFill="1" applyBorder="1" applyAlignment="1">
      <alignment horizontal="left"/>
    </xf>
    <xf numFmtId="0" fontId="5" fillId="0" borderId="38" xfId="0" applyFont="1" applyBorder="1" applyAlignment="1">
      <alignment horizontal="left"/>
    </xf>
    <xf numFmtId="43" fontId="2" fillId="0" borderId="0" xfId="0" applyNumberFormat="1" applyFont="1" applyAlignment="1">
      <alignment horizontal="justify" vertical="center" wrapText="1"/>
    </xf>
    <xf numFmtId="43" fontId="2" fillId="0" borderId="0" xfId="0" applyNumberFormat="1" applyFont="1"/>
    <xf numFmtId="10" fontId="18" fillId="12" borderId="3" xfId="0" applyNumberFormat="1" applyFont="1" applyFill="1" applyBorder="1" applyAlignment="1">
      <alignment horizontal="center" vertical="center" wrapText="1"/>
    </xf>
    <xf numFmtId="164" fontId="1" fillId="0" borderId="0" xfId="1" applyAlignment="1">
      <alignment horizontal="justify" vertical="center" wrapText="1"/>
    </xf>
    <xf numFmtId="0" fontId="4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3" fillId="0" borderId="0" xfId="0" applyNumberFormat="1" applyFont="1"/>
    <xf numFmtId="0" fontId="16" fillId="7" borderId="3" xfId="0" applyFont="1" applyFill="1" applyBorder="1" applyAlignment="1">
      <alignment horizontal="center" vertical="center"/>
    </xf>
    <xf numFmtId="0" fontId="16" fillId="13" borderId="3" xfId="0" applyFont="1" applyFill="1" applyBorder="1" applyAlignment="1">
      <alignment horizontal="center"/>
    </xf>
    <xf numFmtId="0" fontId="0" fillId="14" borderId="3" xfId="0" applyFill="1" applyBorder="1" applyAlignment="1">
      <alignment horizontal="center"/>
    </xf>
    <xf numFmtId="0" fontId="0" fillId="14" borderId="3" xfId="0" applyFill="1" applyBorder="1"/>
    <xf numFmtId="164" fontId="1" fillId="14" borderId="3" xfId="1" applyFill="1" applyBorder="1"/>
    <xf numFmtId="4" fontId="0" fillId="0" borderId="0" xfId="0" applyNumberFormat="1"/>
    <xf numFmtId="0" fontId="19" fillId="0" borderId="0" xfId="0" applyFont="1"/>
    <xf numFmtId="0" fontId="17" fillId="15" borderId="3" xfId="0" applyFont="1" applyFill="1" applyBorder="1" applyAlignment="1">
      <alignment horizontal="center" vertical="center" wrapText="1"/>
    </xf>
    <xf numFmtId="0" fontId="20" fillId="0" borderId="3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center" vertical="center" wrapText="1"/>
    </xf>
    <xf numFmtId="4" fontId="20" fillId="0" borderId="3" xfId="0" applyNumberFormat="1" applyFont="1" applyBorder="1" applyAlignment="1">
      <alignment horizontal="center" vertical="center" wrapText="1"/>
    </xf>
    <xf numFmtId="0" fontId="17" fillId="16" borderId="3" xfId="0" applyFont="1" applyFill="1" applyBorder="1" applyAlignment="1">
      <alignment horizontal="center"/>
    </xf>
    <xf numFmtId="1" fontId="17" fillId="16" borderId="3" xfId="0" applyNumberFormat="1" applyFont="1" applyFill="1" applyBorder="1" applyAlignment="1">
      <alignment horizontal="center"/>
    </xf>
    <xf numFmtId="0" fontId="15" fillId="7" borderId="10" xfId="0" applyFont="1" applyFill="1" applyBorder="1" applyAlignment="1">
      <alignment horizontal="center" vertical="center"/>
    </xf>
    <xf numFmtId="164" fontId="15" fillId="7" borderId="10" xfId="1" applyFont="1" applyFill="1" applyBorder="1" applyAlignment="1">
      <alignment horizontal="center" vertical="center"/>
    </xf>
    <xf numFmtId="0" fontId="15" fillId="3" borderId="23" xfId="0" applyFont="1" applyFill="1" applyBorder="1" applyAlignment="1">
      <alignment horizontal="center" vertical="center"/>
    </xf>
    <xf numFmtId="0" fontId="15" fillId="3" borderId="46" xfId="0" applyFont="1" applyFill="1" applyBorder="1" applyAlignment="1">
      <alignment horizontal="center" vertical="center"/>
    </xf>
    <xf numFmtId="164" fontId="15" fillId="4" borderId="23" xfId="1" applyFont="1" applyFill="1" applyBorder="1" applyAlignment="1">
      <alignment horizontal="center" vertical="center"/>
    </xf>
    <xf numFmtId="164" fontId="15" fillId="6" borderId="34" xfId="1" applyFont="1" applyFill="1" applyBorder="1" applyAlignment="1">
      <alignment horizontal="center" vertical="center"/>
    </xf>
    <xf numFmtId="164" fontId="15" fillId="7" borderId="47" xfId="1" applyFont="1" applyFill="1" applyBorder="1" applyAlignment="1">
      <alignment horizontal="center" vertical="center"/>
    </xf>
    <xf numFmtId="172" fontId="15" fillId="3" borderId="48" xfId="0" applyNumberFormat="1" applyFont="1" applyFill="1" applyBorder="1" applyAlignment="1">
      <alignment horizontal="center" vertical="center"/>
    </xf>
    <xf numFmtId="172" fontId="15" fillId="0" borderId="0" xfId="0" applyNumberFormat="1" applyFont="1" applyAlignment="1">
      <alignment horizontal="center" vertical="center"/>
    </xf>
    <xf numFmtId="173" fontId="15" fillId="0" borderId="0" xfId="0" applyNumberFormat="1" applyFont="1" applyAlignment="1">
      <alignment horizontal="center" vertical="center"/>
    </xf>
    <xf numFmtId="4" fontId="15" fillId="0" borderId="0" xfId="0" applyNumberFormat="1" applyFont="1" applyAlignment="1" applyProtection="1">
      <alignment horizontal="center" vertical="center"/>
      <protection locked="0"/>
    </xf>
    <xf numFmtId="164" fontId="15" fillId="0" borderId="0" xfId="1" applyFont="1" applyFill="1" applyBorder="1" applyAlignment="1">
      <alignment horizontal="center" vertical="center"/>
    </xf>
    <xf numFmtId="174" fontId="15" fillId="0" borderId="0" xfId="0" applyNumberFormat="1" applyFont="1" applyAlignment="1">
      <alignment horizontal="center" vertical="center"/>
    </xf>
    <xf numFmtId="2" fontId="0" fillId="0" borderId="3" xfId="0" applyNumberFormat="1" applyBorder="1" applyAlignment="1">
      <alignment horizontal="center"/>
    </xf>
    <xf numFmtId="167" fontId="5" fillId="0" borderId="3" xfId="0" quotePrefix="1" applyNumberFormat="1" applyFont="1" applyBorder="1" applyAlignment="1">
      <alignment horizontal="center" vertical="center" wrapText="1"/>
    </xf>
    <xf numFmtId="2" fontId="16" fillId="0" borderId="3" xfId="0" applyNumberFormat="1" applyFont="1" applyBorder="1" applyAlignment="1">
      <alignment horizontal="center" vertical="center"/>
    </xf>
    <xf numFmtId="0" fontId="16" fillId="0" borderId="3" xfId="0" applyFont="1" applyBorder="1" applyAlignment="1">
      <alignment vertical="center"/>
    </xf>
    <xf numFmtId="164" fontId="16" fillId="0" borderId="3" xfId="1" applyFont="1" applyFill="1" applyBorder="1" applyAlignment="1">
      <alignment horizontal="center" vertical="center"/>
    </xf>
    <xf numFmtId="4" fontId="16" fillId="0" borderId="3" xfId="0" applyNumberFormat="1" applyFont="1" applyBorder="1" applyAlignment="1" applyProtection="1">
      <alignment horizontal="center" vertical="center" wrapText="1"/>
      <protection locked="0"/>
    </xf>
    <xf numFmtId="0" fontId="16" fillId="19" borderId="3" xfId="0" applyFont="1" applyFill="1" applyBorder="1" applyAlignment="1">
      <alignment vertical="center"/>
    </xf>
    <xf numFmtId="2" fontId="16" fillId="19" borderId="3" xfId="0" applyNumberFormat="1" applyFont="1" applyFill="1" applyBorder="1" applyAlignment="1">
      <alignment horizontal="center" vertical="center"/>
    </xf>
    <xf numFmtId="164" fontId="16" fillId="19" borderId="3" xfId="1" applyFont="1" applyFill="1" applyBorder="1" applyAlignment="1">
      <alignment horizontal="center" vertical="center"/>
    </xf>
    <xf numFmtId="4" fontId="16" fillId="18" borderId="3" xfId="0" applyNumberFormat="1" applyFont="1" applyFill="1" applyBorder="1" applyAlignment="1" applyProtection="1">
      <alignment horizontal="center" vertical="center" wrapText="1"/>
      <protection locked="0"/>
    </xf>
    <xf numFmtId="0" fontId="16" fillId="20" borderId="3" xfId="0" applyFont="1" applyFill="1" applyBorder="1" applyAlignment="1">
      <alignment horizontal="center" vertical="center" wrapText="1"/>
    </xf>
    <xf numFmtId="172" fontId="16" fillId="20" borderId="3" xfId="0" applyNumberFormat="1" applyFont="1" applyFill="1" applyBorder="1" applyAlignment="1">
      <alignment horizontal="center" vertical="center"/>
    </xf>
    <xf numFmtId="0" fontId="16" fillId="20" borderId="3" xfId="0" applyFont="1" applyFill="1" applyBorder="1" applyAlignment="1">
      <alignment horizontal="center" vertical="center"/>
    </xf>
    <xf numFmtId="0" fontId="0" fillId="22" borderId="0" xfId="0" applyFill="1" applyAlignment="1">
      <alignment vertical="center"/>
    </xf>
    <xf numFmtId="164" fontId="16" fillId="23" borderId="39" xfId="1" applyFont="1" applyFill="1" applyBorder="1" applyAlignment="1">
      <alignment horizontal="center" vertical="center"/>
    </xf>
    <xf numFmtId="0" fontId="16" fillId="24" borderId="3" xfId="0" applyFont="1" applyFill="1" applyBorder="1" applyAlignment="1">
      <alignment horizontal="center" vertical="center" wrapText="1"/>
    </xf>
    <xf numFmtId="1" fontId="16" fillId="25" borderId="39" xfId="0" applyNumberFormat="1" applyFont="1" applyFill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0" fontId="6" fillId="9" borderId="0" xfId="0" applyFont="1" applyFill="1" applyAlignment="1">
      <alignment horizontal="center" vertical="top"/>
    </xf>
    <xf numFmtId="0" fontId="7" fillId="0" borderId="0" xfId="0" applyFont="1"/>
    <xf numFmtId="0" fontId="4" fillId="10" borderId="3" xfId="0" applyFont="1" applyFill="1" applyBorder="1" applyAlignment="1">
      <alignment horizontal="center" vertical="center" wrapText="1"/>
    </xf>
    <xf numFmtId="0" fontId="7" fillId="8" borderId="3" xfId="0" applyFont="1" applyFill="1" applyBorder="1"/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10" borderId="3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4" fillId="0" borderId="4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6" fillId="9" borderId="5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4" fillId="8" borderId="41" xfId="0" applyFont="1" applyFill="1" applyBorder="1" applyAlignment="1">
      <alignment horizontal="left" vertical="center" wrapText="1"/>
    </xf>
    <xf numFmtId="166" fontId="5" fillId="0" borderId="40" xfId="0" applyNumberFormat="1" applyFont="1" applyBorder="1" applyAlignment="1">
      <alignment horizontal="center" vertical="center"/>
    </xf>
    <xf numFmtId="164" fontId="8" fillId="0" borderId="0" xfId="1" applyFont="1" applyFill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6" fontId="8" fillId="0" borderId="40" xfId="0" applyNumberFormat="1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8" borderId="40" xfId="0" applyFont="1" applyFill="1" applyBorder="1" applyAlignment="1">
      <alignment horizontal="left" vertical="center" wrapText="1"/>
    </xf>
    <xf numFmtId="14" fontId="5" fillId="0" borderId="0" xfId="0" applyNumberFormat="1" applyFont="1" applyAlignment="1">
      <alignment horizontal="center" vertical="center" wrapText="1"/>
    </xf>
    <xf numFmtId="0" fontId="4" fillId="8" borderId="3" xfId="0" applyFont="1" applyFill="1" applyBorder="1" applyAlignment="1">
      <alignment horizontal="left" vertical="center" wrapText="1"/>
    </xf>
    <xf numFmtId="0" fontId="16" fillId="13" borderId="3" xfId="0" applyFont="1" applyFill="1" applyBorder="1" applyAlignment="1">
      <alignment horizontal="center"/>
    </xf>
    <xf numFmtId="0" fontId="16" fillId="17" borderId="3" xfId="0" applyFont="1" applyFill="1" applyBorder="1" applyAlignment="1">
      <alignment horizontal="center"/>
    </xf>
    <xf numFmtId="164" fontId="16" fillId="17" borderId="3" xfId="0" applyNumberFormat="1" applyFont="1" applyFill="1" applyBorder="1" applyAlignment="1">
      <alignment horizontal="center"/>
    </xf>
    <xf numFmtId="43" fontId="16" fillId="17" borderId="3" xfId="0" applyNumberFormat="1" applyFont="1" applyFill="1" applyBorder="1" applyAlignment="1">
      <alignment horizontal="center"/>
    </xf>
    <xf numFmtId="0" fontId="15" fillId="3" borderId="42" xfId="0" applyFont="1" applyFill="1" applyBorder="1" applyAlignment="1">
      <alignment horizontal="justify" vertical="center"/>
    </xf>
    <xf numFmtId="0" fontId="15" fillId="2" borderId="9" xfId="0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center"/>
    </xf>
    <xf numFmtId="0" fontId="15" fillId="4" borderId="26" xfId="0" applyFont="1" applyFill="1" applyBorder="1" applyAlignment="1">
      <alignment horizontal="left" vertical="center"/>
    </xf>
    <xf numFmtId="0" fontId="15" fillId="4" borderId="27" xfId="0" applyFont="1" applyFill="1" applyBorder="1" applyAlignment="1">
      <alignment horizontal="left" vertical="center"/>
    </xf>
    <xf numFmtId="0" fontId="14" fillId="0" borderId="0" xfId="0" applyFont="1" applyAlignment="1">
      <alignment horizontal="justify" vertical="center" wrapText="1"/>
    </xf>
    <xf numFmtId="0" fontId="15" fillId="2" borderId="9" xfId="0" applyFont="1" applyFill="1" applyBorder="1" applyAlignment="1">
      <alignment vertical="center"/>
    </xf>
    <xf numFmtId="2" fontId="16" fillId="19" borderId="4" xfId="0" applyNumberFormat="1" applyFont="1" applyFill="1" applyBorder="1" applyAlignment="1">
      <alignment horizontal="center" vertical="center"/>
    </xf>
    <xf numFmtId="2" fontId="16" fillId="19" borderId="6" xfId="0" applyNumberFormat="1" applyFont="1" applyFill="1" applyBorder="1" applyAlignment="1">
      <alignment horizontal="center" vertical="center"/>
    </xf>
    <xf numFmtId="2" fontId="16" fillId="19" borderId="7" xfId="0" applyNumberFormat="1" applyFont="1" applyFill="1" applyBorder="1" applyAlignment="1">
      <alignment horizontal="center" vertical="center"/>
    </xf>
    <xf numFmtId="0" fontId="16" fillId="19" borderId="4" xfId="0" applyFont="1" applyFill="1" applyBorder="1" applyAlignment="1">
      <alignment horizontal="center" vertical="center"/>
    </xf>
    <xf numFmtId="0" fontId="16" fillId="19" borderId="6" xfId="0" applyFont="1" applyFill="1" applyBorder="1" applyAlignment="1">
      <alignment horizontal="center" vertical="center"/>
    </xf>
    <xf numFmtId="0" fontId="16" fillId="19" borderId="7" xfId="0" applyFont="1" applyFill="1" applyBorder="1" applyAlignment="1">
      <alignment horizontal="center" vertical="center"/>
    </xf>
    <xf numFmtId="4" fontId="16" fillId="18" borderId="4" xfId="0" applyNumberFormat="1" applyFont="1" applyFill="1" applyBorder="1" applyAlignment="1" applyProtection="1">
      <alignment horizontal="center" vertical="center" wrapText="1"/>
      <protection locked="0"/>
    </xf>
    <xf numFmtId="4" fontId="16" fillId="18" borderId="7" xfId="0" applyNumberFormat="1" applyFont="1" applyFill="1" applyBorder="1" applyAlignment="1" applyProtection="1">
      <alignment horizontal="center" vertical="center" wrapText="1"/>
      <protection locked="0"/>
    </xf>
    <xf numFmtId="0" fontId="16" fillId="23" borderId="4" xfId="0" applyFont="1" applyFill="1" applyBorder="1" applyAlignment="1">
      <alignment horizontal="center" vertical="center"/>
    </xf>
    <xf numFmtId="0" fontId="16" fillId="23" borderId="7" xfId="0" applyFont="1" applyFill="1" applyBorder="1" applyAlignment="1">
      <alignment horizontal="center" vertical="center"/>
    </xf>
    <xf numFmtId="2" fontId="16" fillId="0" borderId="4" xfId="0" applyNumberFormat="1" applyFont="1" applyBorder="1" applyAlignment="1">
      <alignment horizontal="center" vertical="center"/>
    </xf>
    <xf numFmtId="2" fontId="16" fillId="0" borderId="6" xfId="0" applyNumberFormat="1" applyFont="1" applyBorder="1" applyAlignment="1">
      <alignment horizontal="center" vertical="center"/>
    </xf>
    <xf numFmtId="2" fontId="16" fillId="0" borderId="7" xfId="0" applyNumberFormat="1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4" fontId="16" fillId="0" borderId="4" xfId="0" applyNumberFormat="1" applyFont="1" applyBorder="1" applyAlignment="1" applyProtection="1">
      <alignment horizontal="center" vertical="center" wrapText="1"/>
      <protection locked="0"/>
    </xf>
    <xf numFmtId="4" fontId="16" fillId="0" borderId="7" xfId="0" applyNumberFormat="1" applyFont="1" applyBorder="1" applyAlignment="1" applyProtection="1">
      <alignment horizontal="center" vertical="center" wrapText="1"/>
      <protection locked="0"/>
    </xf>
    <xf numFmtId="0" fontId="16" fillId="19" borderId="3" xfId="0" applyFont="1" applyFill="1" applyBorder="1" applyAlignment="1">
      <alignment horizontal="center" vertical="center"/>
    </xf>
    <xf numFmtId="4" fontId="16" fillId="18" borderId="3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Border="1" applyAlignment="1">
      <alignment horizontal="center" vertical="center"/>
    </xf>
    <xf numFmtId="4" fontId="16" fillId="0" borderId="3" xfId="0" applyNumberFormat="1" applyFont="1" applyBorder="1" applyAlignment="1" applyProtection="1">
      <alignment horizontal="center" vertical="center" wrapText="1"/>
      <protection locked="0"/>
    </xf>
    <xf numFmtId="0" fontId="16" fillId="21" borderId="38" xfId="0" applyFont="1" applyFill="1" applyBorder="1" applyAlignment="1">
      <alignment horizontal="center" vertical="center"/>
    </xf>
    <xf numFmtId="0" fontId="16" fillId="21" borderId="43" xfId="0" applyFont="1" applyFill="1" applyBorder="1" applyAlignment="1">
      <alignment horizontal="center" vertical="center"/>
    </xf>
    <xf numFmtId="164" fontId="16" fillId="7" borderId="3" xfId="1" applyFont="1" applyFill="1" applyBorder="1" applyAlignment="1" applyProtection="1">
      <alignment horizontal="center" vertical="center"/>
    </xf>
    <xf numFmtId="0" fontId="16" fillId="24" borderId="3" xfId="0" applyFont="1" applyFill="1" applyBorder="1" applyAlignment="1">
      <alignment horizontal="center" vertical="center"/>
    </xf>
    <xf numFmtId="164" fontId="16" fillId="7" borderId="3" xfId="1" applyFont="1" applyFill="1" applyBorder="1" applyAlignment="1">
      <alignment horizontal="center" vertical="center"/>
    </xf>
    <xf numFmtId="0" fontId="16" fillId="20" borderId="44" xfId="0" applyFont="1" applyFill="1" applyBorder="1" applyAlignment="1">
      <alignment horizontal="center" vertical="center"/>
    </xf>
    <xf numFmtId="0" fontId="16" fillId="20" borderId="45" xfId="0" applyFont="1" applyFill="1" applyBorder="1" applyAlignment="1">
      <alignment horizontal="center" vertical="center"/>
    </xf>
    <xf numFmtId="0" fontId="16" fillId="20" borderId="39" xfId="0" applyFont="1" applyFill="1" applyBorder="1" applyAlignment="1">
      <alignment horizontal="center" vertical="center"/>
    </xf>
    <xf numFmtId="0" fontId="16" fillId="20" borderId="3" xfId="0" applyFont="1" applyFill="1" applyBorder="1" applyAlignment="1">
      <alignment horizontal="center" vertical="center" wrapText="1"/>
    </xf>
    <xf numFmtId="2" fontId="16" fillId="0" borderId="3" xfId="0" applyNumberFormat="1" applyFont="1" applyBorder="1" applyAlignment="1">
      <alignment horizontal="center" vertical="center"/>
    </xf>
  </cellXfs>
  <cellStyles count="5">
    <cellStyle name="Moeda" xfId="1" builtinId="4"/>
    <cellStyle name="Normal" xfId="0" builtinId="0"/>
    <cellStyle name="Porcentagem 2" xfId="2" xr:uid="{00000000-0005-0000-0000-000003000000}"/>
    <cellStyle name="Título 1 1" xfId="3" xr:uid="{00000000-0005-0000-0000-000004000000}"/>
    <cellStyle name="Vírgula 2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microsoft.com/office/2017/10/relationships/person" Target="persons/person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microsoft.com/office/2017/10/relationships/person" Target="persons/person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3"/>
  <sheetViews>
    <sheetView showGridLines="0" view="pageBreakPreview" topLeftCell="A106" zoomScaleNormal="100" zoomScaleSheetLayoutView="100" workbookViewId="0">
      <selection activeCell="C113" sqref="C113"/>
    </sheetView>
  </sheetViews>
  <sheetFormatPr defaultColWidth="12" defaultRowHeight="12.75" x14ac:dyDescent="0.2"/>
  <cols>
    <col min="1" max="1" width="5.140625" style="1" customWidth="1"/>
    <col min="2" max="2" width="67.42578125" style="1" customWidth="1"/>
    <col min="3" max="3" width="13.28515625" style="1" customWidth="1"/>
    <col min="4" max="4" width="20" style="1" customWidth="1"/>
    <col min="5" max="5" width="15.85546875" style="1" bestFit="1" customWidth="1"/>
    <col min="6" max="6" width="13.28515625" style="1" bestFit="1" customWidth="1"/>
    <col min="7" max="7" width="11.140625" style="1" customWidth="1"/>
    <col min="8" max="8" width="14.28515625" style="1" bestFit="1" customWidth="1"/>
    <col min="9" max="251" width="11.5703125" style="1" customWidth="1"/>
    <col min="252" max="16384" width="12" style="1"/>
  </cols>
  <sheetData>
    <row r="1" spans="1:4" ht="12.75" customHeight="1" x14ac:dyDescent="0.2">
      <c r="A1" s="221" t="s">
        <v>1</v>
      </c>
      <c r="B1" s="221"/>
      <c r="C1" s="221"/>
      <c r="D1" s="221"/>
    </row>
    <row r="2" spans="1:4" x14ac:dyDescent="0.2">
      <c r="A2" s="5"/>
      <c r="B2" s="6" t="s">
        <v>60</v>
      </c>
      <c r="C2" s="220">
        <v>2023021564</v>
      </c>
      <c r="D2" s="220"/>
    </row>
    <row r="3" spans="1:4" x14ac:dyDescent="0.2">
      <c r="A3" s="5"/>
      <c r="B3" s="6" t="s">
        <v>164</v>
      </c>
      <c r="C3" s="220" t="s">
        <v>165</v>
      </c>
      <c r="D3" s="220"/>
    </row>
    <row r="4" spans="1:4" x14ac:dyDescent="0.2">
      <c r="A4" s="5"/>
      <c r="B4" s="6" t="s">
        <v>56</v>
      </c>
      <c r="C4" s="222">
        <v>45167</v>
      </c>
      <c r="D4" s="220"/>
    </row>
    <row r="5" spans="1:4" ht="12.75" customHeight="1" x14ac:dyDescent="0.2">
      <c r="A5" s="223" t="s">
        <v>2</v>
      </c>
      <c r="B5" s="223"/>
      <c r="C5" s="223"/>
      <c r="D5" s="223"/>
    </row>
    <row r="6" spans="1:4" ht="12.75" customHeight="1" x14ac:dyDescent="0.2">
      <c r="A6" s="5"/>
      <c r="B6" s="6" t="s">
        <v>57</v>
      </c>
      <c r="C6" s="219" t="s">
        <v>166</v>
      </c>
      <c r="D6" s="219"/>
    </row>
    <row r="7" spans="1:4" x14ac:dyDescent="0.2">
      <c r="A7" s="5"/>
      <c r="B7" s="6" t="s">
        <v>58</v>
      </c>
      <c r="C7" s="219" t="s">
        <v>167</v>
      </c>
      <c r="D7" s="219"/>
    </row>
    <row r="8" spans="1:4" x14ac:dyDescent="0.2">
      <c r="A8" s="5"/>
      <c r="B8" s="6" t="s">
        <v>59</v>
      </c>
      <c r="C8" s="216" t="s">
        <v>228</v>
      </c>
      <c r="D8" s="216"/>
    </row>
    <row r="9" spans="1:4" x14ac:dyDescent="0.2">
      <c r="A9" s="5"/>
      <c r="B9" s="6" t="s">
        <v>61</v>
      </c>
      <c r="C9" s="204" t="s">
        <v>168</v>
      </c>
      <c r="D9" s="204"/>
    </row>
    <row r="10" spans="1:4" x14ac:dyDescent="0.2">
      <c r="A10" s="5"/>
      <c r="B10" s="6" t="s">
        <v>42</v>
      </c>
      <c r="C10" s="220">
        <v>2023</v>
      </c>
      <c r="D10" s="220"/>
    </row>
    <row r="11" spans="1:4" ht="12.75" customHeight="1" x14ac:dyDescent="0.2">
      <c r="A11" s="5"/>
      <c r="B11" s="6" t="s">
        <v>48</v>
      </c>
      <c r="C11" s="204" t="s">
        <v>169</v>
      </c>
      <c r="D11" s="204"/>
    </row>
    <row r="12" spans="1:4" x14ac:dyDescent="0.2">
      <c r="A12" s="5"/>
      <c r="B12" s="6" t="s">
        <v>53</v>
      </c>
      <c r="C12" s="216" t="s">
        <v>170</v>
      </c>
      <c r="D12" s="216"/>
    </row>
    <row r="13" spans="1:4" x14ac:dyDescent="0.2">
      <c r="A13" s="7"/>
      <c r="B13" s="8" t="s">
        <v>55</v>
      </c>
      <c r="C13" s="217" t="s">
        <v>145</v>
      </c>
      <c r="D13" s="217"/>
    </row>
    <row r="14" spans="1:4" ht="12.75" customHeight="1" x14ac:dyDescent="0.2">
      <c r="A14" s="9"/>
      <c r="B14" s="9"/>
      <c r="C14" s="9"/>
      <c r="D14" s="9"/>
    </row>
    <row r="15" spans="1:4" ht="12.75" customHeight="1" x14ac:dyDescent="0.2">
      <c r="A15" s="213" t="s">
        <v>3</v>
      </c>
      <c r="B15" s="213"/>
      <c r="C15" s="213"/>
      <c r="D15" s="213"/>
    </row>
    <row r="16" spans="1:4" x14ac:dyDescent="0.2">
      <c r="A16" s="5"/>
      <c r="B16" s="6" t="s">
        <v>106</v>
      </c>
      <c r="C16" s="218" t="s">
        <v>139</v>
      </c>
      <c r="D16" s="218"/>
    </row>
    <row r="17" spans="1:7" x14ac:dyDescent="0.2">
      <c r="A17" s="5"/>
      <c r="B17" s="6" t="s">
        <v>147</v>
      </c>
      <c r="C17" s="204" t="s">
        <v>140</v>
      </c>
      <c r="D17" s="204"/>
    </row>
    <row r="18" spans="1:7" x14ac:dyDescent="0.2">
      <c r="A18" s="7"/>
      <c r="B18" s="8" t="s">
        <v>65</v>
      </c>
      <c r="C18" s="212"/>
      <c r="D18" s="212"/>
    </row>
    <row r="19" spans="1:7" x14ac:dyDescent="0.2">
      <c r="A19" s="9"/>
      <c r="B19" s="9"/>
      <c r="C19" s="9"/>
      <c r="D19" s="9"/>
    </row>
    <row r="20" spans="1:7" x14ac:dyDescent="0.2">
      <c r="A20" s="213" t="s">
        <v>43</v>
      </c>
      <c r="B20" s="213"/>
      <c r="C20" s="213"/>
      <c r="D20" s="213"/>
    </row>
    <row r="21" spans="1:7" x14ac:dyDescent="0.2">
      <c r="A21" s="47" t="s">
        <v>44</v>
      </c>
      <c r="B21" s="6" t="s">
        <v>103</v>
      </c>
      <c r="C21" s="214" t="str">
        <f>C16</f>
        <v>limpeza e conservação</v>
      </c>
      <c r="D21" s="214"/>
    </row>
    <row r="22" spans="1:7" x14ac:dyDescent="0.2">
      <c r="A22" s="47" t="s">
        <v>45</v>
      </c>
      <c r="B22" s="6" t="s">
        <v>66</v>
      </c>
      <c r="C22" s="215">
        <v>1380</v>
      </c>
      <c r="D22" s="215"/>
    </row>
    <row r="23" spans="1:7" x14ac:dyDescent="0.2">
      <c r="A23" s="47" t="s">
        <v>46</v>
      </c>
      <c r="B23" s="6" t="s">
        <v>104</v>
      </c>
      <c r="C23" s="204"/>
      <c r="D23" s="204"/>
    </row>
    <row r="24" spans="1:7" x14ac:dyDescent="0.2">
      <c r="A24" s="48" t="s">
        <v>47</v>
      </c>
      <c r="B24" s="8" t="s">
        <v>54</v>
      </c>
      <c r="C24" s="205" t="s">
        <v>171</v>
      </c>
      <c r="D24" s="205"/>
    </row>
    <row r="25" spans="1:7" s="2" customFormat="1" ht="33" customHeight="1" x14ac:dyDescent="0.2">
      <c r="A25" s="206" t="s">
        <v>0</v>
      </c>
      <c r="B25" s="206"/>
      <c r="C25" s="206"/>
      <c r="D25" s="206"/>
    </row>
    <row r="26" spans="1:7" s="2" customFormat="1" x14ac:dyDescent="0.2">
      <c r="A26" s="194" t="s">
        <v>4</v>
      </c>
      <c r="B26" s="194"/>
      <c r="C26" s="194"/>
      <c r="D26" s="194"/>
    </row>
    <row r="27" spans="1:7" s="2" customFormat="1" x14ac:dyDescent="0.2">
      <c r="A27" s="15"/>
      <c r="B27" s="23"/>
      <c r="C27" s="40"/>
      <c r="D27" s="58">
        <f>C22</f>
        <v>1380</v>
      </c>
      <c r="F27" s="1"/>
      <c r="G27" s="1"/>
    </row>
    <row r="28" spans="1:7" s="2" customFormat="1" ht="12.75" customHeight="1" x14ac:dyDescent="0.2">
      <c r="A28" s="12" t="s">
        <v>6</v>
      </c>
      <c r="B28" s="16" t="s">
        <v>7</v>
      </c>
      <c r="C28" s="41"/>
      <c r="D28" s="14"/>
      <c r="F28" s="1"/>
      <c r="G28" s="1"/>
    </row>
    <row r="29" spans="1:7" s="2" customFormat="1" ht="12.75" customHeight="1" x14ac:dyDescent="0.2">
      <c r="A29" s="12" t="s">
        <v>8</v>
      </c>
      <c r="B29" s="16" t="s">
        <v>9</v>
      </c>
      <c r="C29" s="41"/>
      <c r="D29" s="14"/>
      <c r="F29" s="1"/>
      <c r="G29" s="1"/>
    </row>
    <row r="30" spans="1:7" s="2" customFormat="1" ht="12.75" customHeight="1" x14ac:dyDescent="0.2">
      <c r="A30" s="12" t="s">
        <v>10</v>
      </c>
      <c r="B30" s="16" t="s">
        <v>11</v>
      </c>
      <c r="C30" s="41"/>
      <c r="D30" s="55">
        <v>0</v>
      </c>
      <c r="F30" s="1"/>
      <c r="G30" s="1"/>
    </row>
    <row r="31" spans="1:7" s="2" customFormat="1" ht="12.75" customHeight="1" x14ac:dyDescent="0.2">
      <c r="A31" s="12" t="s">
        <v>12</v>
      </c>
      <c r="B31" s="16" t="s">
        <v>227</v>
      </c>
      <c r="C31" s="41"/>
      <c r="D31" s="168">
        <f>(C22/220)*20%*105/52.5*60</f>
        <v>150.54545454545459</v>
      </c>
      <c r="F31" s="1"/>
      <c r="G31" s="1"/>
    </row>
    <row r="32" spans="1:7" s="2" customFormat="1" ht="12.75" customHeight="1" x14ac:dyDescent="0.2">
      <c r="A32" s="12" t="s">
        <v>13</v>
      </c>
      <c r="B32" s="16" t="s">
        <v>67</v>
      </c>
      <c r="C32" s="41"/>
      <c r="D32" s="14"/>
      <c r="F32" s="1"/>
      <c r="G32" s="1"/>
    </row>
    <row r="33" spans="1:9" ht="12.75" customHeight="1" x14ac:dyDescent="0.2">
      <c r="A33" s="12" t="s">
        <v>14</v>
      </c>
      <c r="B33" s="16" t="s">
        <v>68</v>
      </c>
      <c r="C33" s="42"/>
      <c r="D33" s="14"/>
    </row>
    <row r="34" spans="1:9" ht="12.75" customHeight="1" x14ac:dyDescent="0.2">
      <c r="A34" s="12" t="s">
        <v>15</v>
      </c>
      <c r="B34" s="16" t="s">
        <v>17</v>
      </c>
      <c r="C34" s="42"/>
      <c r="D34" s="14"/>
    </row>
    <row r="35" spans="1:9" s="3" customFormat="1" ht="12.75" customHeight="1" x14ac:dyDescent="0.2">
      <c r="A35" s="200" t="s">
        <v>82</v>
      </c>
      <c r="B35" s="192"/>
      <c r="C35" s="43"/>
      <c r="D35" s="58">
        <f>SUM(D27:D34)</f>
        <v>1530.5454545454545</v>
      </c>
      <c r="F35" s="1"/>
      <c r="G35" s="135"/>
    </row>
    <row r="36" spans="1:9" ht="10.5" customHeight="1" x14ac:dyDescent="0.2">
      <c r="A36" s="9"/>
      <c r="B36" s="9"/>
      <c r="C36" s="9"/>
      <c r="D36" s="9"/>
    </row>
    <row r="37" spans="1:9" s="2" customFormat="1" ht="17.100000000000001" customHeight="1" x14ac:dyDescent="0.2">
      <c r="A37" s="194" t="s">
        <v>69</v>
      </c>
      <c r="B37" s="194"/>
      <c r="C37" s="194"/>
      <c r="D37" s="194"/>
    </row>
    <row r="38" spans="1:9" s="2" customFormat="1" x14ac:dyDescent="0.2">
      <c r="A38" s="24" t="s">
        <v>70</v>
      </c>
      <c r="B38" s="36" t="s">
        <v>71</v>
      </c>
      <c r="C38" s="40" t="s">
        <v>5</v>
      </c>
      <c r="D38" s="21" t="s">
        <v>40</v>
      </c>
    </row>
    <row r="39" spans="1:9" s="2" customFormat="1" ht="12.75" customHeight="1" x14ac:dyDescent="0.2">
      <c r="A39" s="12" t="s">
        <v>6</v>
      </c>
      <c r="B39" s="16" t="s">
        <v>29</v>
      </c>
      <c r="C39" s="13">
        <v>8.3299999999999999E-2</v>
      </c>
      <c r="D39" s="14">
        <f>C39*$D$35</f>
        <v>127.49443636363635</v>
      </c>
    </row>
    <row r="40" spans="1:9" s="2" customFormat="1" ht="12.75" customHeight="1" x14ac:dyDescent="0.2">
      <c r="A40" s="12" t="s">
        <v>8</v>
      </c>
      <c r="B40" s="16" t="s">
        <v>72</v>
      </c>
      <c r="C40" s="13">
        <v>0.1111</v>
      </c>
      <c r="D40" s="14">
        <f>C40*$D$35</f>
        <v>170.0436</v>
      </c>
    </row>
    <row r="41" spans="1:9" s="2" customFormat="1" ht="12.75" customHeight="1" x14ac:dyDescent="0.2">
      <c r="A41" s="207" t="s">
        <v>27</v>
      </c>
      <c r="B41" s="208"/>
      <c r="C41" s="209"/>
      <c r="D41" s="25">
        <f>SUM(D39:D40)</f>
        <v>297.53803636363637</v>
      </c>
    </row>
    <row r="42" spans="1:9" s="2" customFormat="1" ht="12.75" customHeight="1" x14ac:dyDescent="0.2">
      <c r="A42" s="207"/>
      <c r="B42" s="210"/>
      <c r="C42" s="210"/>
      <c r="D42" s="211"/>
      <c r="I42" s="134"/>
    </row>
    <row r="43" spans="1:9" s="2" customFormat="1" ht="12.75" customHeight="1" x14ac:dyDescent="0.2">
      <c r="A43" s="24" t="s">
        <v>73</v>
      </c>
      <c r="B43" s="36" t="s">
        <v>74</v>
      </c>
      <c r="C43" s="40" t="s">
        <v>5</v>
      </c>
      <c r="D43" s="21" t="s">
        <v>40</v>
      </c>
    </row>
    <row r="44" spans="1:9" s="2" customFormat="1" ht="12.75" customHeight="1" x14ac:dyDescent="0.2">
      <c r="A44" s="12" t="s">
        <v>6</v>
      </c>
      <c r="B44" s="16" t="s">
        <v>22</v>
      </c>
      <c r="C44" s="13">
        <v>0.2</v>
      </c>
      <c r="D44" s="14">
        <f>D35*C44</f>
        <v>306.10909090909092</v>
      </c>
    </row>
    <row r="45" spans="1:9" s="2" customFormat="1" ht="12.75" customHeight="1" x14ac:dyDescent="0.2">
      <c r="A45" s="12" t="s">
        <v>8</v>
      </c>
      <c r="B45" s="16" t="s">
        <v>24</v>
      </c>
      <c r="C45" s="13">
        <v>2.5000000000000001E-2</v>
      </c>
      <c r="D45" s="14">
        <f>D35*C45</f>
        <v>38.263636363636365</v>
      </c>
    </row>
    <row r="46" spans="1:9" s="2" customFormat="1" ht="12.75" customHeight="1" x14ac:dyDescent="0.2">
      <c r="A46" s="12" t="s">
        <v>10</v>
      </c>
      <c r="B46" s="16" t="s">
        <v>75</v>
      </c>
      <c r="C46" s="136">
        <v>0.03</v>
      </c>
      <c r="D46" s="14">
        <f>D35*C46</f>
        <v>45.916363636363634</v>
      </c>
    </row>
    <row r="47" spans="1:9" s="2" customFormat="1" ht="12.75" customHeight="1" x14ac:dyDescent="0.2">
      <c r="A47" s="12" t="s">
        <v>12</v>
      </c>
      <c r="B47" s="16" t="s">
        <v>76</v>
      </c>
      <c r="C47" s="13">
        <v>1.4999999999999999E-2</v>
      </c>
      <c r="D47" s="14">
        <f>D35*C47</f>
        <v>22.958181818181817</v>
      </c>
    </row>
    <row r="48" spans="1:9" ht="12.75" customHeight="1" x14ac:dyDescent="0.2">
      <c r="A48" s="12" t="s">
        <v>13</v>
      </c>
      <c r="B48" s="16" t="s">
        <v>77</v>
      </c>
      <c r="C48" s="13">
        <v>0.01</v>
      </c>
      <c r="D48" s="14">
        <f>D35*C48</f>
        <v>15.305454545454545</v>
      </c>
      <c r="I48" s="135"/>
    </row>
    <row r="49" spans="1:7" s="3" customFormat="1" ht="17.100000000000001" customHeight="1" x14ac:dyDescent="0.2">
      <c r="A49" s="12" t="s">
        <v>14</v>
      </c>
      <c r="B49" s="16" t="s">
        <v>26</v>
      </c>
      <c r="C49" s="13">
        <v>6.0000000000000001E-3</v>
      </c>
      <c r="D49" s="14">
        <f>D35*C49</f>
        <v>9.1832727272727279</v>
      </c>
    </row>
    <row r="50" spans="1:7" ht="12.75" customHeight="1" x14ac:dyDescent="0.2">
      <c r="A50" s="12" t="s">
        <v>15</v>
      </c>
      <c r="B50" s="16" t="s">
        <v>23</v>
      </c>
      <c r="C50" s="13">
        <v>2E-3</v>
      </c>
      <c r="D50" s="14">
        <f>D35*C50</f>
        <v>3.0610909090909089</v>
      </c>
    </row>
    <row r="51" spans="1:7" s="2" customFormat="1" ht="12.75" customHeight="1" x14ac:dyDescent="0.2">
      <c r="A51" s="12" t="s">
        <v>16</v>
      </c>
      <c r="B51" s="16" t="s">
        <v>25</v>
      </c>
      <c r="C51" s="13">
        <v>0.08</v>
      </c>
      <c r="D51" s="14">
        <f>D35*C51</f>
        <v>122.44363636363636</v>
      </c>
    </row>
    <row r="52" spans="1:7" s="2" customFormat="1" x14ac:dyDescent="0.2">
      <c r="A52" s="200" t="s">
        <v>27</v>
      </c>
      <c r="B52" s="192"/>
      <c r="C52" s="43">
        <f>SUM(C44:C51)</f>
        <v>0.36800000000000005</v>
      </c>
      <c r="D52" s="19">
        <f>SUM(D44:D51)</f>
        <v>563.24072727272733</v>
      </c>
    </row>
    <row r="53" spans="1:7" s="2" customFormat="1" x14ac:dyDescent="0.2">
      <c r="A53" s="200"/>
      <c r="B53" s="192"/>
      <c r="C53" s="192"/>
      <c r="D53" s="193"/>
    </row>
    <row r="54" spans="1:7" s="2" customFormat="1" x14ac:dyDescent="0.2">
      <c r="A54" s="20" t="s">
        <v>78</v>
      </c>
      <c r="B54" s="198" t="s">
        <v>79</v>
      </c>
      <c r="C54" s="199"/>
      <c r="D54" s="28" t="s">
        <v>40</v>
      </c>
    </row>
    <row r="55" spans="1:7" s="2" customFormat="1" ht="12.75" customHeight="1" x14ac:dyDescent="0.2">
      <c r="A55" s="12" t="s">
        <v>6</v>
      </c>
      <c r="B55" s="16" t="s">
        <v>18</v>
      </c>
      <c r="C55" s="55">
        <v>0</v>
      </c>
      <c r="D55" s="14">
        <v>0</v>
      </c>
      <c r="E55" s="134">
        <f>C55*22*2</f>
        <v>0</v>
      </c>
      <c r="F55" s="2">
        <f>D35*6%</f>
        <v>91.832727272727269</v>
      </c>
      <c r="G55" s="2">
        <f>E55-F55</f>
        <v>-91.832727272727269</v>
      </c>
    </row>
    <row r="56" spans="1:7" s="2" customFormat="1" ht="12.75" customHeight="1" x14ac:dyDescent="0.2">
      <c r="A56" s="12" t="s">
        <v>8</v>
      </c>
      <c r="B56" s="16" t="s">
        <v>80</v>
      </c>
      <c r="C56" s="55">
        <v>18.2</v>
      </c>
      <c r="D56" s="14">
        <f>G56</f>
        <v>356.35599999999999</v>
      </c>
      <c r="E56" s="137">
        <f>C56*22</f>
        <v>400.4</v>
      </c>
      <c r="F56" s="137">
        <f>E56*11%</f>
        <v>44.043999999999997</v>
      </c>
      <c r="G56" s="134">
        <f>E56-F56</f>
        <v>356.35599999999999</v>
      </c>
    </row>
    <row r="57" spans="1:7" s="2" customFormat="1" ht="12.75" customHeight="1" x14ac:dyDescent="0.2">
      <c r="A57" s="12" t="s">
        <v>10</v>
      </c>
      <c r="B57" s="16" t="s">
        <v>155</v>
      </c>
      <c r="C57" s="54"/>
      <c r="D57" s="14">
        <v>0</v>
      </c>
    </row>
    <row r="58" spans="1:7" s="2" customFormat="1" ht="12.75" customHeight="1" x14ac:dyDescent="0.2">
      <c r="A58" s="12" t="s">
        <v>12</v>
      </c>
      <c r="B58" s="16" t="s">
        <v>144</v>
      </c>
      <c r="C58" s="54"/>
      <c r="D58" s="14">
        <v>0</v>
      </c>
    </row>
    <row r="59" spans="1:7" s="2" customFormat="1" ht="12.75" customHeight="1" x14ac:dyDescent="0.2">
      <c r="A59" s="12" t="s">
        <v>13</v>
      </c>
      <c r="B59" s="16" t="s">
        <v>156</v>
      </c>
      <c r="C59" s="41"/>
      <c r="D59" s="14">
        <v>0</v>
      </c>
      <c r="G59" s="130"/>
    </row>
    <row r="60" spans="1:7" s="2" customFormat="1" ht="12.75" customHeight="1" x14ac:dyDescent="0.2">
      <c r="A60" s="12" t="s">
        <v>14</v>
      </c>
      <c r="B60" s="16" t="s">
        <v>172</v>
      </c>
      <c r="C60" s="41"/>
      <c r="D60" s="14">
        <v>16</v>
      </c>
    </row>
    <row r="61" spans="1:7" s="2" customFormat="1" ht="12.75" customHeight="1" x14ac:dyDescent="0.2">
      <c r="A61" s="57" t="s">
        <v>15</v>
      </c>
      <c r="B61" s="66" t="s">
        <v>105</v>
      </c>
      <c r="C61" s="41"/>
      <c r="D61" s="122">
        <v>2.54</v>
      </c>
    </row>
    <row r="62" spans="1:7" s="2" customFormat="1" ht="12.75" customHeight="1" x14ac:dyDescent="0.2">
      <c r="A62" s="57"/>
      <c r="B62" s="62"/>
      <c r="C62" s="41"/>
      <c r="D62" s="14"/>
      <c r="E62" s="134"/>
    </row>
    <row r="63" spans="1:7" s="2" customFormat="1" ht="12.75" customHeight="1" x14ac:dyDescent="0.2">
      <c r="A63" s="200" t="s">
        <v>27</v>
      </c>
      <c r="B63" s="192"/>
      <c r="C63" s="193"/>
      <c r="D63" s="19">
        <f>SUM(D55:D62)</f>
        <v>374.89600000000002</v>
      </c>
      <c r="E63" s="134"/>
    </row>
    <row r="64" spans="1:7" ht="28.35" customHeight="1" x14ac:dyDescent="0.2">
      <c r="A64" s="9"/>
      <c r="B64" s="9"/>
      <c r="C64" s="9"/>
      <c r="D64" s="9"/>
      <c r="E64" s="135"/>
    </row>
    <row r="65" spans="1:7" x14ac:dyDescent="0.2">
      <c r="A65" s="198" t="s">
        <v>90</v>
      </c>
      <c r="B65" s="201"/>
      <c r="C65" s="199"/>
      <c r="D65" s="19"/>
    </row>
    <row r="66" spans="1:7" s="2" customFormat="1" ht="12.75" customHeight="1" x14ac:dyDescent="0.2">
      <c r="A66" s="27" t="s">
        <v>70</v>
      </c>
      <c r="B66" s="184" t="s">
        <v>81</v>
      </c>
      <c r="C66" s="184"/>
      <c r="D66" s="19">
        <f>D41</f>
        <v>297.53803636363637</v>
      </c>
    </row>
    <row r="67" spans="1:7" s="4" customFormat="1" x14ac:dyDescent="0.2">
      <c r="A67" s="27" t="s">
        <v>73</v>
      </c>
      <c r="B67" s="184" t="s">
        <v>74</v>
      </c>
      <c r="C67" s="184"/>
      <c r="D67" s="19">
        <f>D52</f>
        <v>563.24072727272733</v>
      </c>
      <c r="F67" s="2"/>
      <c r="G67" s="2"/>
    </row>
    <row r="68" spans="1:7" s="2" customFormat="1" ht="12.75" customHeight="1" x14ac:dyDescent="0.2">
      <c r="A68" s="27" t="s">
        <v>78</v>
      </c>
      <c r="B68" s="184" t="s">
        <v>79</v>
      </c>
      <c r="C68" s="184"/>
      <c r="D68" s="19">
        <f>D63</f>
        <v>374.89600000000002</v>
      </c>
    </row>
    <row r="69" spans="1:7" s="2" customFormat="1" ht="12.75" customHeight="1" x14ac:dyDescent="0.2">
      <c r="A69" s="189" t="s">
        <v>27</v>
      </c>
      <c r="B69" s="190"/>
      <c r="C69" s="191"/>
      <c r="D69" s="19">
        <f>SUM(D66:D68)</f>
        <v>1235.6747636363637</v>
      </c>
    </row>
    <row r="70" spans="1:7" s="2" customFormat="1" ht="12.75" customHeight="1" x14ac:dyDescent="0.2"/>
    <row r="71" spans="1:7" s="2" customFormat="1" ht="12.75" customHeight="1" x14ac:dyDescent="0.2">
      <c r="A71" s="194" t="s">
        <v>83</v>
      </c>
      <c r="B71" s="194"/>
      <c r="C71" s="194"/>
      <c r="D71" s="194"/>
    </row>
    <row r="72" spans="1:7" s="2" customFormat="1" ht="12.75" customHeight="1" x14ac:dyDescent="0.2">
      <c r="A72" s="202"/>
      <c r="B72" s="203"/>
      <c r="C72" s="40" t="s">
        <v>5</v>
      </c>
      <c r="D72" s="21" t="s">
        <v>40</v>
      </c>
    </row>
    <row r="73" spans="1:7" s="3" customFormat="1" ht="17.100000000000001" customHeight="1" x14ac:dyDescent="0.2">
      <c r="A73" s="12" t="s">
        <v>6</v>
      </c>
      <c r="B73" s="16" t="s">
        <v>32</v>
      </c>
      <c r="C73" s="13">
        <v>4.1999999999999997E-3</v>
      </c>
      <c r="D73" s="128">
        <f>D27*C73</f>
        <v>5.7959999999999994</v>
      </c>
      <c r="F73" s="2"/>
      <c r="G73" s="2"/>
    </row>
    <row r="74" spans="1:7" ht="15" customHeight="1" x14ac:dyDescent="0.2">
      <c r="A74" s="12" t="s">
        <v>8</v>
      </c>
      <c r="B74" s="16" t="s">
        <v>50</v>
      </c>
      <c r="C74" s="41"/>
      <c r="D74" s="128">
        <f>$C$51*D73</f>
        <v>0.46367999999999998</v>
      </c>
      <c r="F74" s="2"/>
      <c r="G74" s="2"/>
    </row>
    <row r="75" spans="1:7" s="4" customFormat="1" x14ac:dyDescent="0.2">
      <c r="A75" s="123" t="s">
        <v>10</v>
      </c>
      <c r="B75" s="16" t="s">
        <v>62</v>
      </c>
      <c r="C75" s="64">
        <v>4.3499999999999997E-2</v>
      </c>
      <c r="D75" s="129">
        <f>D35*C75</f>
        <v>66.578727272727264</v>
      </c>
      <c r="F75" s="2"/>
      <c r="G75" s="2"/>
    </row>
    <row r="76" spans="1:7" s="2" customFormat="1" ht="12.75" customHeight="1" x14ac:dyDescent="0.2">
      <c r="A76" s="12" t="s">
        <v>12</v>
      </c>
      <c r="B76" s="132" t="s">
        <v>33</v>
      </c>
      <c r="C76" s="136">
        <v>4.0000000000000002E-4</v>
      </c>
      <c r="D76" s="128">
        <f>D27*C76</f>
        <v>0.55200000000000005</v>
      </c>
    </row>
    <row r="77" spans="1:7" s="3" customFormat="1" x14ac:dyDescent="0.2">
      <c r="A77" s="12" t="s">
        <v>13</v>
      </c>
      <c r="B77" s="16" t="s">
        <v>63</v>
      </c>
      <c r="C77" s="41"/>
      <c r="D77" s="14">
        <f>$C$52*D76</f>
        <v>0.20313600000000004</v>
      </c>
      <c r="F77" s="2"/>
      <c r="G77" s="2"/>
    </row>
    <row r="78" spans="1:7" s="2" customFormat="1" ht="12.75" customHeight="1" x14ac:dyDescent="0.2">
      <c r="A78" s="123" t="s">
        <v>14</v>
      </c>
      <c r="B78" s="16" t="s">
        <v>64</v>
      </c>
      <c r="C78" s="64">
        <v>6.4999999999999997E-3</v>
      </c>
      <c r="D78" s="65">
        <f>D35*C78</f>
        <v>9.948545454545453</v>
      </c>
    </row>
    <row r="79" spans="1:7" s="3" customFormat="1" x14ac:dyDescent="0.2">
      <c r="A79" s="38" t="s">
        <v>27</v>
      </c>
      <c r="B79" s="124"/>
      <c r="C79" s="125">
        <f>SUM(C73:C78)</f>
        <v>5.4599999999999996E-2</v>
      </c>
      <c r="D79" s="19">
        <f>SUM(D73:D78)</f>
        <v>83.542088727272727</v>
      </c>
      <c r="F79" s="2"/>
      <c r="G79" s="2"/>
    </row>
    <row r="80" spans="1:7" ht="15" customHeight="1" x14ac:dyDescent="0.2">
      <c r="A80" s="9"/>
      <c r="B80" s="9"/>
      <c r="C80" s="9"/>
      <c r="D80" s="9"/>
      <c r="F80" s="2"/>
      <c r="G80" s="2"/>
    </row>
    <row r="81" spans="1:9" ht="15" customHeight="1" x14ac:dyDescent="0.2">
      <c r="A81" s="194" t="s">
        <v>84</v>
      </c>
      <c r="B81" s="194"/>
      <c r="C81" s="194"/>
      <c r="D81" s="194"/>
      <c r="F81" s="2"/>
      <c r="G81" s="2"/>
    </row>
    <row r="82" spans="1:9" s="4" customFormat="1" x14ac:dyDescent="0.2">
      <c r="A82" s="24" t="s">
        <v>21</v>
      </c>
      <c r="B82" s="36" t="s">
        <v>85</v>
      </c>
      <c r="C82" s="40" t="s">
        <v>5</v>
      </c>
      <c r="D82" s="21" t="s">
        <v>40</v>
      </c>
      <c r="F82" s="2"/>
      <c r="G82" s="2"/>
    </row>
    <row r="83" spans="1:9" s="2" customFormat="1" ht="12.75" customHeight="1" x14ac:dyDescent="0.2">
      <c r="A83" s="12" t="s">
        <v>6</v>
      </c>
      <c r="B83" s="16" t="s">
        <v>86</v>
      </c>
      <c r="C83" s="13">
        <v>8.3299999999999999E-2</v>
      </c>
      <c r="D83" s="14">
        <f t="shared" ref="D83:D88" si="0">C83*$D$35</f>
        <v>127.49443636363635</v>
      </c>
    </row>
    <row r="84" spans="1:9" s="2" customFormat="1" ht="12.75" customHeight="1" x14ac:dyDescent="0.2">
      <c r="A84" s="12" t="s">
        <v>8</v>
      </c>
      <c r="B84" s="16" t="s">
        <v>85</v>
      </c>
      <c r="C84" s="13">
        <v>2.2200000000000001E-2</v>
      </c>
      <c r="D84" s="14">
        <f t="shared" si="0"/>
        <v>33.978109090909093</v>
      </c>
    </row>
    <row r="85" spans="1:9" s="3" customFormat="1" x14ac:dyDescent="0.2">
      <c r="A85" s="12" t="s">
        <v>10</v>
      </c>
      <c r="B85" s="16" t="s">
        <v>87</v>
      </c>
      <c r="C85" s="13">
        <v>1.4999999999999999E-2</v>
      </c>
      <c r="D85" s="14">
        <f t="shared" si="0"/>
        <v>22.958181818181817</v>
      </c>
      <c r="F85" s="2"/>
      <c r="G85" s="2"/>
    </row>
    <row r="86" spans="1:9" x14ac:dyDescent="0.2">
      <c r="A86" s="12" t="s">
        <v>12</v>
      </c>
      <c r="B86" s="16" t="s">
        <v>34</v>
      </c>
      <c r="C86" s="13">
        <v>0.01</v>
      </c>
      <c r="D86" s="14">
        <f t="shared" si="0"/>
        <v>15.305454545454545</v>
      </c>
      <c r="F86" s="2"/>
      <c r="G86" s="2"/>
    </row>
    <row r="87" spans="1:9" s="4" customFormat="1" x14ac:dyDescent="0.2">
      <c r="A87" s="12" t="s">
        <v>13</v>
      </c>
      <c r="B87" s="16" t="s">
        <v>31</v>
      </c>
      <c r="C87" s="13">
        <v>0.01</v>
      </c>
      <c r="D87" s="14">
        <f t="shared" si="0"/>
        <v>15.305454545454545</v>
      </c>
      <c r="F87" s="2"/>
      <c r="G87" s="2"/>
    </row>
    <row r="88" spans="1:9" s="2" customFormat="1" ht="12.75" customHeight="1" x14ac:dyDescent="0.2">
      <c r="A88" s="12" t="s">
        <v>14</v>
      </c>
      <c r="B88" s="16" t="s">
        <v>17</v>
      </c>
      <c r="C88" s="13">
        <v>0</v>
      </c>
      <c r="D88" s="14">
        <f t="shared" si="0"/>
        <v>0</v>
      </c>
    </row>
    <row r="89" spans="1:9" s="2" customFormat="1" ht="12.75" customHeight="1" x14ac:dyDescent="0.2">
      <c r="A89" s="12"/>
      <c r="B89" s="62"/>
      <c r="C89" s="126">
        <f>SUM(C83:C88)</f>
        <v>0.14050000000000001</v>
      </c>
      <c r="D89" s="14">
        <f>SUM(D83:D88)</f>
        <v>215.04163636363637</v>
      </c>
    </row>
    <row r="90" spans="1:9" s="2" customFormat="1" ht="12.75" customHeight="1" x14ac:dyDescent="0.2">
      <c r="A90" s="18"/>
      <c r="B90" s="138" t="s">
        <v>27</v>
      </c>
      <c r="C90" s="43">
        <f>C39+C40+C52+C79+C89</f>
        <v>0.75750000000000006</v>
      </c>
      <c r="D90" s="19">
        <f>D89</f>
        <v>215.04163636363637</v>
      </c>
    </row>
    <row r="91" spans="1:9" s="2" customFormat="1" ht="12.75" customHeight="1" x14ac:dyDescent="0.2">
      <c r="A91" s="139"/>
      <c r="D91" s="19">
        <f>SUM(D90:D90)</f>
        <v>215.04163636363637</v>
      </c>
    </row>
    <row r="92" spans="1:9" s="2" customFormat="1" ht="12.75" customHeight="1" x14ac:dyDescent="0.2">
      <c r="A92" s="18"/>
      <c r="B92" s="138" t="s">
        <v>27</v>
      </c>
      <c r="C92" s="43">
        <f>C90</f>
        <v>0.75750000000000006</v>
      </c>
      <c r="D92" s="26">
        <f>C90*D27</f>
        <v>1045.3500000000001</v>
      </c>
      <c r="E92" s="127"/>
      <c r="F92" s="3"/>
      <c r="G92" s="3"/>
      <c r="H92" s="3"/>
      <c r="I92" s="3"/>
    </row>
    <row r="93" spans="1:9" s="2" customFormat="1" ht="12.75" customHeight="1" x14ac:dyDescent="0.2">
      <c r="A93" s="18"/>
      <c r="B93" s="138"/>
      <c r="C93" s="43"/>
      <c r="D93" s="19"/>
      <c r="E93" s="127"/>
      <c r="F93" s="3"/>
      <c r="G93" s="3"/>
      <c r="H93" s="3"/>
      <c r="I93" s="3"/>
    </row>
    <row r="94" spans="1:9" s="2" customFormat="1" ht="12.75" customHeight="1" x14ac:dyDescent="0.2">
      <c r="A94" s="20" t="s">
        <v>28</v>
      </c>
      <c r="B94" s="198" t="s">
        <v>88</v>
      </c>
      <c r="C94" s="199"/>
      <c r="D94" s="28" t="s">
        <v>40</v>
      </c>
      <c r="F94" s="3"/>
      <c r="G94" s="3"/>
      <c r="H94" s="3"/>
      <c r="I94" s="3"/>
    </row>
    <row r="95" spans="1:9" s="2" customFormat="1" ht="12.75" customHeight="1" x14ac:dyDescent="0.2">
      <c r="A95" s="12" t="s">
        <v>6</v>
      </c>
      <c r="B95" s="16" t="s">
        <v>89</v>
      </c>
      <c r="C95" s="54"/>
      <c r="D95" s="14">
        <v>0</v>
      </c>
      <c r="F95" s="3"/>
      <c r="G95" s="3"/>
      <c r="H95" s="3"/>
      <c r="I95" s="3"/>
    </row>
    <row r="96" spans="1:9" s="2" customFormat="1" ht="12.75" customHeight="1" x14ac:dyDescent="0.2">
      <c r="A96" s="200" t="s">
        <v>27</v>
      </c>
      <c r="B96" s="192"/>
      <c r="C96" s="193"/>
      <c r="D96" s="19">
        <f>D95</f>
        <v>0</v>
      </c>
      <c r="F96" s="3"/>
      <c r="G96" s="3"/>
      <c r="H96" s="3"/>
      <c r="I96" s="3"/>
    </row>
    <row r="97" spans="1:9" s="2" customFormat="1" ht="12.75" customHeight="1" x14ac:dyDescent="0.2">
      <c r="A97" s="20"/>
      <c r="B97" s="192"/>
      <c r="C97" s="192"/>
      <c r="D97" s="193"/>
      <c r="F97" s="3"/>
      <c r="G97" s="3"/>
      <c r="H97" s="3"/>
      <c r="I97" s="3"/>
    </row>
    <row r="98" spans="1:9" s="2" customFormat="1" ht="12.75" customHeight="1" x14ac:dyDescent="0.2">
      <c r="A98" s="198" t="s">
        <v>91</v>
      </c>
      <c r="B98" s="201"/>
      <c r="C98" s="199"/>
      <c r="D98" s="19"/>
      <c r="F98" s="3"/>
      <c r="G98" s="3"/>
      <c r="H98" s="3"/>
      <c r="I98" s="3"/>
    </row>
    <row r="99" spans="1:9" s="2" customFormat="1" ht="12.75" customHeight="1" x14ac:dyDescent="0.2">
      <c r="A99" s="27" t="s">
        <v>21</v>
      </c>
      <c r="B99" s="184" t="s">
        <v>85</v>
      </c>
      <c r="C99" s="184"/>
      <c r="D99" s="19">
        <f>D91</f>
        <v>215.04163636363637</v>
      </c>
      <c r="F99" s="3"/>
      <c r="G99" s="3"/>
      <c r="H99" s="3"/>
      <c r="I99" s="3"/>
    </row>
    <row r="100" spans="1:9" s="2" customFormat="1" ht="12.75" customHeight="1" x14ac:dyDescent="0.2">
      <c r="A100" s="27" t="s">
        <v>28</v>
      </c>
      <c r="B100" s="184" t="s">
        <v>88</v>
      </c>
      <c r="C100" s="184"/>
      <c r="D100" s="19">
        <f>D96</f>
        <v>0</v>
      </c>
      <c r="F100" s="3"/>
      <c r="G100" s="3"/>
      <c r="H100" s="3"/>
      <c r="I100" s="3"/>
    </row>
    <row r="101" spans="1:9" s="2" customFormat="1" ht="12.75" customHeight="1" x14ac:dyDescent="0.2">
      <c r="A101" s="189" t="s">
        <v>27</v>
      </c>
      <c r="B101" s="190"/>
      <c r="C101" s="191"/>
      <c r="D101" s="19">
        <f>SUM(D99:D100)</f>
        <v>215.04163636363637</v>
      </c>
      <c r="F101" s="3"/>
      <c r="G101" s="3"/>
      <c r="H101" s="3"/>
      <c r="I101" s="3"/>
    </row>
    <row r="102" spans="1:9" s="2" customFormat="1" ht="12.75" customHeight="1" x14ac:dyDescent="0.2">
      <c r="A102" s="20"/>
      <c r="B102" s="192"/>
      <c r="C102" s="192"/>
      <c r="D102" s="193"/>
      <c r="F102" s="3"/>
      <c r="G102" s="3"/>
      <c r="H102" s="3"/>
      <c r="I102" s="3"/>
    </row>
    <row r="103" spans="1:9" s="2" customFormat="1" ht="12.75" customHeight="1" x14ac:dyDescent="0.2">
      <c r="A103" s="194" t="s">
        <v>92</v>
      </c>
      <c r="B103" s="194"/>
      <c r="C103" s="194"/>
      <c r="D103" s="194"/>
      <c r="F103" s="3"/>
      <c r="G103" s="3"/>
      <c r="H103" s="3"/>
      <c r="I103" s="3"/>
    </row>
    <row r="104" spans="1:9" s="2" customFormat="1" ht="12.75" customHeight="1" x14ac:dyDescent="0.2">
      <c r="A104" s="22"/>
      <c r="B104" s="23"/>
      <c r="C104" s="40"/>
      <c r="D104" s="21" t="s">
        <v>40</v>
      </c>
      <c r="F104" s="3"/>
      <c r="G104" s="3"/>
      <c r="H104" s="3"/>
      <c r="I104" s="3"/>
    </row>
    <row r="105" spans="1:9" s="2" customFormat="1" ht="12.75" customHeight="1" x14ac:dyDescent="0.2">
      <c r="A105" s="12" t="s">
        <v>6</v>
      </c>
      <c r="B105" s="16" t="s">
        <v>19</v>
      </c>
      <c r="C105" s="41"/>
      <c r="D105" s="14">
        <f>Uniforme!E9</f>
        <v>43.333333333333336</v>
      </c>
      <c r="F105" s="3"/>
      <c r="G105" s="3"/>
      <c r="H105" s="3"/>
      <c r="I105" s="3"/>
    </row>
    <row r="106" spans="1:9" s="2" customFormat="1" ht="12.75" customHeight="1" x14ac:dyDescent="0.2">
      <c r="A106" s="12" t="s">
        <v>8</v>
      </c>
      <c r="B106" s="16" t="s">
        <v>20</v>
      </c>
      <c r="C106" s="41"/>
      <c r="D106" s="14">
        <v>0</v>
      </c>
      <c r="F106" s="3"/>
      <c r="G106" s="3"/>
      <c r="H106" s="3"/>
      <c r="I106" s="3"/>
    </row>
    <row r="107" spans="1:9" s="3" customFormat="1" x14ac:dyDescent="0.2">
      <c r="A107" s="12" t="s">
        <v>10</v>
      </c>
      <c r="B107" s="16" t="s">
        <v>173</v>
      </c>
      <c r="C107" s="41"/>
      <c r="D107" s="14">
        <v>30</v>
      </c>
    </row>
    <row r="108" spans="1:9" s="3" customFormat="1" x14ac:dyDescent="0.2">
      <c r="A108" s="12" t="s">
        <v>12</v>
      </c>
      <c r="B108" s="133" t="s">
        <v>143</v>
      </c>
      <c r="C108" s="41"/>
      <c r="D108" s="14">
        <v>0</v>
      </c>
    </row>
    <row r="109" spans="1:9" s="4" customFormat="1" x14ac:dyDescent="0.2">
      <c r="A109" s="12"/>
      <c r="B109" s="17" t="s">
        <v>27</v>
      </c>
      <c r="C109" s="28"/>
      <c r="D109" s="19">
        <f>D105+D106+D107+D108</f>
        <v>73.333333333333343</v>
      </c>
      <c r="F109" s="3"/>
      <c r="G109" s="3"/>
      <c r="H109" s="3"/>
      <c r="I109" s="3"/>
    </row>
    <row r="110" spans="1:9" s="4" customFormat="1" x14ac:dyDescent="0.2">
      <c r="A110" s="195"/>
      <c r="B110" s="196"/>
      <c r="C110" s="196"/>
      <c r="D110" s="197"/>
      <c r="F110" s="3"/>
      <c r="G110" s="3"/>
      <c r="H110" s="3"/>
      <c r="I110" s="3"/>
    </row>
    <row r="111" spans="1:9" s="2" customFormat="1" ht="12.75" customHeight="1" x14ac:dyDescent="0.2">
      <c r="A111" s="187" t="s">
        <v>93</v>
      </c>
      <c r="B111" s="187"/>
      <c r="C111" s="187"/>
      <c r="D111" s="187"/>
      <c r="F111" s="3"/>
      <c r="G111" s="3"/>
      <c r="H111" s="3"/>
      <c r="I111" s="3"/>
    </row>
    <row r="112" spans="1:9" s="2" customFormat="1" ht="12.75" customHeight="1" x14ac:dyDescent="0.2">
      <c r="A112" s="29"/>
      <c r="B112" s="23"/>
      <c r="C112" s="21" t="s">
        <v>5</v>
      </c>
      <c r="D112" s="21" t="s">
        <v>40</v>
      </c>
      <c r="F112" s="3"/>
      <c r="G112" s="3"/>
      <c r="H112" s="3"/>
      <c r="I112" s="3"/>
    </row>
    <row r="113" spans="1:9" s="2" customFormat="1" ht="12.75" customHeight="1" x14ac:dyDescent="0.2">
      <c r="A113" s="12" t="s">
        <v>6</v>
      </c>
      <c r="B113" s="16" t="s">
        <v>35</v>
      </c>
      <c r="C113" s="13">
        <v>5.3440000000000001E-2</v>
      </c>
      <c r="D113" s="14">
        <f>D130*C113</f>
        <v>167.7020560618279</v>
      </c>
      <c r="E113" s="137">
        <f>Resumo!D115</f>
        <v>1004342.4501434504</v>
      </c>
      <c r="F113" s="3"/>
      <c r="G113" s="3"/>
      <c r="H113" s="3"/>
      <c r="I113" s="3"/>
    </row>
    <row r="114" spans="1:9" s="2" customFormat="1" ht="12.75" customHeight="1" x14ac:dyDescent="0.2">
      <c r="A114" s="12" t="s">
        <v>8</v>
      </c>
      <c r="B114" s="16" t="s">
        <v>37</v>
      </c>
      <c r="C114" s="13">
        <v>0.06</v>
      </c>
      <c r="D114" s="30">
        <f>(D130+D113)*C114</f>
        <v>198.35035996007332</v>
      </c>
      <c r="E114" s="137"/>
      <c r="F114" s="3"/>
      <c r="G114" s="3"/>
      <c r="H114" s="3"/>
      <c r="I114" s="3"/>
    </row>
    <row r="115" spans="1:9" s="2" customFormat="1" ht="12.75" customHeight="1" x14ac:dyDescent="0.2">
      <c r="A115" s="12" t="s">
        <v>10</v>
      </c>
      <c r="B115" s="16" t="s">
        <v>36</v>
      </c>
      <c r="C115" s="44"/>
      <c r="D115" s="30"/>
      <c r="F115" s="3"/>
      <c r="G115" s="3"/>
      <c r="H115" s="3"/>
      <c r="I115" s="3"/>
    </row>
    <row r="116" spans="1:9" s="2" customFormat="1" ht="12.75" customHeight="1" x14ac:dyDescent="0.2">
      <c r="A116" s="12"/>
      <c r="B116" s="16" t="s">
        <v>230</v>
      </c>
      <c r="C116" s="13">
        <v>6.7400000000000002E-2</v>
      </c>
      <c r="D116" s="14">
        <f>C116*$H$138</f>
        <v>267.59844242366262</v>
      </c>
      <c r="F116" s="3"/>
      <c r="G116" s="3"/>
      <c r="H116" s="3"/>
      <c r="I116" s="3"/>
    </row>
    <row r="117" spans="1:9" s="3" customFormat="1" x14ac:dyDescent="0.2">
      <c r="A117" s="12"/>
      <c r="B117" s="16" t="s">
        <v>94</v>
      </c>
      <c r="C117" s="13">
        <v>0</v>
      </c>
      <c r="D117" s="14">
        <f>C117*$H$138</f>
        <v>0</v>
      </c>
    </row>
    <row r="118" spans="1:9" s="2" customFormat="1" ht="12.75" customHeight="1" x14ac:dyDescent="0.2">
      <c r="A118" s="12"/>
      <c r="B118" s="16" t="s">
        <v>95</v>
      </c>
      <c r="C118" s="13">
        <v>0.05</v>
      </c>
      <c r="D118" s="14">
        <f>C118*$H$138</f>
        <v>198.51516500271708</v>
      </c>
      <c r="F118" s="3"/>
      <c r="G118" s="3"/>
      <c r="H118" s="3"/>
      <c r="I118" s="3"/>
    </row>
    <row r="119" spans="1:9" s="3" customFormat="1" x14ac:dyDescent="0.2">
      <c r="A119" s="12"/>
      <c r="B119" s="16" t="s">
        <v>96</v>
      </c>
      <c r="C119" s="13"/>
      <c r="D119" s="14">
        <f>C119*$H$138</f>
        <v>0</v>
      </c>
    </row>
    <row r="120" spans="1:9" s="3" customFormat="1" x14ac:dyDescent="0.2">
      <c r="A120" s="31"/>
      <c r="B120" s="20" t="s">
        <v>27</v>
      </c>
      <c r="C120" s="43">
        <f>SUM(C113:C119)</f>
        <v>0.23083999999999999</v>
      </c>
      <c r="D120" s="19">
        <f>SUM(D113:D119)</f>
        <v>832.16602344828084</v>
      </c>
      <c r="H120" s="140"/>
    </row>
    <row r="121" spans="1:9" s="3" customFormat="1" ht="15" customHeight="1" x14ac:dyDescent="0.2">
      <c r="A121" s="9"/>
      <c r="B121" s="9"/>
      <c r="C121" s="9"/>
      <c r="D121" s="9"/>
      <c r="E121" s="121"/>
    </row>
    <row r="122" spans="1:9" s="3" customFormat="1" ht="23.25" x14ac:dyDescent="0.2">
      <c r="A122" s="185"/>
      <c r="B122" s="186"/>
      <c r="C122" s="186"/>
      <c r="D122" s="186"/>
    </row>
    <row r="123" spans="1:9" s="3" customFormat="1" x14ac:dyDescent="0.2">
      <c r="A123" s="187" t="s">
        <v>38</v>
      </c>
      <c r="B123" s="188"/>
      <c r="C123" s="188"/>
      <c r="D123" s="188"/>
    </row>
    <row r="124" spans="1:9" s="3" customFormat="1" x14ac:dyDescent="0.2">
      <c r="A124" s="10"/>
      <c r="B124" s="10"/>
      <c r="C124" s="11"/>
      <c r="D124" s="21" t="s">
        <v>40</v>
      </c>
      <c r="H124" s="120"/>
    </row>
    <row r="125" spans="1:9" s="3" customFormat="1" x14ac:dyDescent="0.2">
      <c r="A125" s="32" t="s">
        <v>6</v>
      </c>
      <c r="B125" s="37" t="s">
        <v>39</v>
      </c>
      <c r="C125" s="45"/>
      <c r="D125" s="53">
        <f>D35</f>
        <v>1530.5454545454545</v>
      </c>
    </row>
    <row r="126" spans="1:9" s="3" customFormat="1" x14ac:dyDescent="0.2">
      <c r="A126" s="32" t="s">
        <v>8</v>
      </c>
      <c r="B126" s="37" t="s">
        <v>97</v>
      </c>
      <c r="C126" s="45"/>
      <c r="D126" s="53">
        <f>D69</f>
        <v>1235.6747636363637</v>
      </c>
      <c r="H126" s="120"/>
    </row>
    <row r="127" spans="1:9" s="3" customFormat="1" x14ac:dyDescent="0.2">
      <c r="A127" s="32" t="s">
        <v>10</v>
      </c>
      <c r="B127" s="37" t="s">
        <v>98</v>
      </c>
      <c r="C127" s="45"/>
      <c r="D127" s="53">
        <f>D79</f>
        <v>83.542088727272727</v>
      </c>
    </row>
    <row r="128" spans="1:9" s="3" customFormat="1" x14ac:dyDescent="0.2">
      <c r="A128" s="32" t="s">
        <v>12</v>
      </c>
      <c r="B128" s="37" t="s">
        <v>99</v>
      </c>
      <c r="C128" s="45"/>
      <c r="D128" s="53">
        <f>D91</f>
        <v>215.04163636363637</v>
      </c>
    </row>
    <row r="129" spans="1:9" s="3" customFormat="1" x14ac:dyDescent="0.2">
      <c r="A129" s="32" t="s">
        <v>13</v>
      </c>
      <c r="B129" s="37" t="s">
        <v>100</v>
      </c>
      <c r="C129" s="45"/>
      <c r="D129" s="53">
        <f>D109</f>
        <v>73.333333333333343</v>
      </c>
      <c r="E129" s="61"/>
      <c r="F129" s="120">
        <f>Resumo!E113</f>
        <v>83695.204178620872</v>
      </c>
    </row>
    <row r="130" spans="1:9" x14ac:dyDescent="0.2">
      <c r="A130" s="18"/>
      <c r="B130" s="38" t="s">
        <v>101</v>
      </c>
      <c r="C130" s="46"/>
      <c r="D130" s="33">
        <f>SUM(D125:D129)</f>
        <v>3138.1372766060608</v>
      </c>
    </row>
    <row r="131" spans="1:9" s="2" customFormat="1" x14ac:dyDescent="0.2">
      <c r="A131" s="34" t="s">
        <v>13</v>
      </c>
      <c r="B131" s="39" t="s">
        <v>102</v>
      </c>
      <c r="C131" s="45"/>
      <c r="D131" s="53">
        <f>D120</f>
        <v>832.16602344828084</v>
      </c>
    </row>
    <row r="132" spans="1:9" s="4" customFormat="1" x14ac:dyDescent="0.2">
      <c r="A132" s="31"/>
      <c r="B132" s="38" t="s">
        <v>41</v>
      </c>
      <c r="C132" s="56"/>
      <c r="D132" s="35">
        <f>ROUND(D130+D131,2)</f>
        <v>3970.3</v>
      </c>
      <c r="E132" s="60">
        <f>D132/D125</f>
        <v>2.5940425279163697</v>
      </c>
    </row>
    <row r="133" spans="1:9" s="2" customFormat="1" ht="12.75" customHeight="1" x14ac:dyDescent="0.2">
      <c r="A133" s="9"/>
      <c r="B133" s="9"/>
      <c r="C133" s="9"/>
      <c r="D133" s="9"/>
    </row>
    <row r="134" spans="1:9" s="2" customFormat="1" ht="12.75" customHeight="1" x14ac:dyDescent="0.2">
      <c r="A134" s="1"/>
      <c r="B134" s="1"/>
      <c r="C134" s="1"/>
      <c r="D134" s="1"/>
    </row>
    <row r="135" spans="1:9" s="2" customFormat="1" ht="12.75" customHeight="1" x14ac:dyDescent="0.2">
      <c r="A135" s="1"/>
      <c r="B135" s="1"/>
      <c r="C135" s="1"/>
      <c r="D135" s="1"/>
    </row>
    <row r="136" spans="1:9" s="2" customFormat="1" ht="12.75" customHeight="1" x14ac:dyDescent="0.2">
      <c r="A136" s="1"/>
      <c r="B136" s="1"/>
      <c r="C136" s="1"/>
      <c r="D136" s="1"/>
      <c r="G136" s="49" t="s">
        <v>49</v>
      </c>
      <c r="H136" s="50">
        <f>D130+D114+D113</f>
        <v>3504.1896926279619</v>
      </c>
      <c r="I136" s="51" t="s">
        <v>52</v>
      </c>
    </row>
    <row r="137" spans="1:9" s="2" customFormat="1" ht="12.75" customHeight="1" x14ac:dyDescent="0.2">
      <c r="A137" s="1"/>
      <c r="B137" s="1"/>
      <c r="C137" s="1"/>
      <c r="D137" s="1"/>
      <c r="G137" s="49" t="s">
        <v>36</v>
      </c>
      <c r="H137" s="52">
        <f>SUM(C116:C119)</f>
        <v>0.1174</v>
      </c>
    </row>
    <row r="138" spans="1:9" s="2" customFormat="1" ht="12.75" customHeight="1" x14ac:dyDescent="0.2">
      <c r="A138" s="1"/>
      <c r="B138" s="1"/>
      <c r="C138" s="1"/>
      <c r="D138" s="120"/>
      <c r="G138" s="49" t="s">
        <v>30</v>
      </c>
      <c r="H138" s="50">
        <f>H136/(1-H137)</f>
        <v>3970.3033000543414</v>
      </c>
    </row>
    <row r="139" spans="1:9" s="2" customFormat="1" ht="12.75" customHeight="1" x14ac:dyDescent="0.2">
      <c r="A139" s="1"/>
      <c r="B139" s="1"/>
      <c r="C139" s="1"/>
      <c r="D139" s="1"/>
      <c r="G139" s="49" t="s">
        <v>51</v>
      </c>
      <c r="H139" s="50">
        <f>H138-H136</f>
        <v>466.11360742637953</v>
      </c>
    </row>
    <row r="140" spans="1:9" s="3" customFormat="1" ht="17.100000000000001" customHeight="1" x14ac:dyDescent="0.2">
      <c r="A140" s="1"/>
      <c r="B140" s="1"/>
      <c r="C140" s="1"/>
      <c r="D140" s="135"/>
    </row>
    <row r="141" spans="1:9" ht="12.75" customHeight="1" x14ac:dyDescent="0.2">
      <c r="A141" s="9"/>
      <c r="B141" s="9"/>
      <c r="C141" s="9"/>
      <c r="D141" s="9"/>
    </row>
    <row r="142" spans="1:9" ht="12.75" customHeight="1" x14ac:dyDescent="0.2">
      <c r="A142" s="9"/>
      <c r="B142" s="9"/>
      <c r="C142" s="9"/>
      <c r="D142" s="9"/>
    </row>
    <row r="143" spans="1:9" ht="12.75" customHeight="1" x14ac:dyDescent="0.2">
      <c r="A143" s="9"/>
      <c r="B143" s="9"/>
      <c r="C143" s="9"/>
      <c r="D143" s="9"/>
    </row>
    <row r="144" spans="1:9" x14ac:dyDescent="0.2">
      <c r="A144" s="9"/>
      <c r="B144" s="9"/>
      <c r="C144" s="9"/>
      <c r="D144" s="9"/>
    </row>
    <row r="145" spans="1:4" x14ac:dyDescent="0.2">
      <c r="A145" s="9"/>
      <c r="B145" s="9"/>
      <c r="C145" s="9"/>
      <c r="D145" s="9"/>
    </row>
    <row r="146" spans="1:4" x14ac:dyDescent="0.2">
      <c r="A146" s="9"/>
      <c r="B146" s="9"/>
      <c r="C146" s="9"/>
      <c r="D146" s="9"/>
    </row>
    <row r="147" spans="1:4" ht="12.75" customHeight="1" x14ac:dyDescent="0.2">
      <c r="A147" s="9"/>
      <c r="B147" s="9"/>
      <c r="C147" s="9"/>
      <c r="D147" s="9"/>
    </row>
    <row r="148" spans="1:4" x14ac:dyDescent="0.2">
      <c r="A148" s="9"/>
      <c r="B148" s="9"/>
      <c r="C148" s="9"/>
      <c r="D148" s="9"/>
    </row>
    <row r="151" spans="1:4" ht="13.5" customHeight="1" x14ac:dyDescent="0.2"/>
    <row r="153" spans="1:4" ht="16.5" customHeight="1" x14ac:dyDescent="0.2"/>
  </sheetData>
  <mergeCells count="53">
    <mergeCell ref="A1:D1"/>
    <mergeCell ref="C2:D2"/>
    <mergeCell ref="C3:D3"/>
    <mergeCell ref="C4:D4"/>
    <mergeCell ref="A5:D5"/>
    <mergeCell ref="C6:D6"/>
    <mergeCell ref="C7:D7"/>
    <mergeCell ref="C8:D8"/>
    <mergeCell ref="C9:D9"/>
    <mergeCell ref="C10:D10"/>
    <mergeCell ref="C11:D11"/>
    <mergeCell ref="C12:D12"/>
    <mergeCell ref="C13:D13"/>
    <mergeCell ref="A15:D15"/>
    <mergeCell ref="C16:D16"/>
    <mergeCell ref="C17:D17"/>
    <mergeCell ref="C18:D18"/>
    <mergeCell ref="A20:D20"/>
    <mergeCell ref="C21:D21"/>
    <mergeCell ref="C22:D22"/>
    <mergeCell ref="C23:D23"/>
    <mergeCell ref="C24:D24"/>
    <mergeCell ref="B66:C66"/>
    <mergeCell ref="A25:D25"/>
    <mergeCell ref="A26:D26"/>
    <mergeCell ref="A35:B35"/>
    <mergeCell ref="A37:D37"/>
    <mergeCell ref="A41:C41"/>
    <mergeCell ref="A42:D42"/>
    <mergeCell ref="A52:B52"/>
    <mergeCell ref="A53:D53"/>
    <mergeCell ref="B54:C54"/>
    <mergeCell ref="A63:C63"/>
    <mergeCell ref="A65:C65"/>
    <mergeCell ref="B67:C67"/>
    <mergeCell ref="B68:C68"/>
    <mergeCell ref="A69:C69"/>
    <mergeCell ref="A71:D71"/>
    <mergeCell ref="A72:B72"/>
    <mergeCell ref="A81:D81"/>
    <mergeCell ref="B94:C94"/>
    <mergeCell ref="A96:C96"/>
    <mergeCell ref="B97:D97"/>
    <mergeCell ref="A98:C98"/>
    <mergeCell ref="B99:C99"/>
    <mergeCell ref="A122:D122"/>
    <mergeCell ref="A123:D123"/>
    <mergeCell ref="B100:C100"/>
    <mergeCell ref="A101:C101"/>
    <mergeCell ref="B102:D102"/>
    <mergeCell ref="A103:D103"/>
    <mergeCell ref="A110:D110"/>
    <mergeCell ref="A111:D111"/>
  </mergeCells>
  <printOptions horizontalCentered="1"/>
  <pageMargins left="0.78740157480314965" right="0.59055118110236215" top="1.6141732283464567" bottom="0.59055118110236215" header="0.39370078740157483" footer="0.51181102362204722"/>
  <pageSetup paperSize="9" scale="58" firstPageNumber="0" fitToHeight="2" orientation="portrait" r:id="rId1"/>
  <headerFooter alignWithMargins="0"/>
  <rowBreaks count="1" manualBreakCount="1">
    <brk id="79" max="3" man="1"/>
  </rowBreaks>
  <colBreaks count="1" manualBreakCount="1">
    <brk id="4" max="13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CBA09C-01F9-4139-AB9C-C4EC6C5707E0}">
  <dimension ref="A1:I153"/>
  <sheetViews>
    <sheetView showGridLines="0" view="pageBreakPreview" topLeftCell="A119" zoomScaleNormal="100" zoomScaleSheetLayoutView="100" workbookViewId="0">
      <selection activeCell="C113" sqref="C113"/>
    </sheetView>
  </sheetViews>
  <sheetFormatPr defaultColWidth="12" defaultRowHeight="12.75" x14ac:dyDescent="0.2"/>
  <cols>
    <col min="1" max="1" width="5.140625" style="1" customWidth="1"/>
    <col min="2" max="2" width="67.42578125" style="1" customWidth="1"/>
    <col min="3" max="3" width="13.28515625" style="1" customWidth="1"/>
    <col min="4" max="4" width="20" style="1" customWidth="1"/>
    <col min="5" max="5" width="15.85546875" style="1" bestFit="1" customWidth="1"/>
    <col min="6" max="6" width="11.42578125" style="1" bestFit="1" customWidth="1"/>
    <col min="7" max="7" width="11.140625" style="1" customWidth="1"/>
    <col min="8" max="8" width="14.28515625" style="1" bestFit="1" customWidth="1"/>
    <col min="9" max="251" width="11.5703125" style="1" customWidth="1"/>
    <col min="252" max="16384" width="12" style="1"/>
  </cols>
  <sheetData>
    <row r="1" spans="1:4" ht="12.75" customHeight="1" x14ac:dyDescent="0.2">
      <c r="A1" s="221" t="s">
        <v>1</v>
      </c>
      <c r="B1" s="221"/>
      <c r="C1" s="221"/>
      <c r="D1" s="221"/>
    </row>
    <row r="2" spans="1:4" x14ac:dyDescent="0.2">
      <c r="A2" s="5"/>
      <c r="B2" s="6" t="s">
        <v>60</v>
      </c>
      <c r="C2" s="220">
        <v>2023021564</v>
      </c>
      <c r="D2" s="220"/>
    </row>
    <row r="3" spans="1:4" x14ac:dyDescent="0.2">
      <c r="A3" s="5"/>
      <c r="B3" s="6" t="s">
        <v>164</v>
      </c>
      <c r="C3" s="220" t="s">
        <v>165</v>
      </c>
      <c r="D3" s="220"/>
    </row>
    <row r="4" spans="1:4" x14ac:dyDescent="0.2">
      <c r="A4" s="5"/>
      <c r="B4" s="6" t="s">
        <v>56</v>
      </c>
      <c r="C4" s="222">
        <v>45167</v>
      </c>
      <c r="D4" s="220"/>
    </row>
    <row r="5" spans="1:4" ht="12.75" customHeight="1" x14ac:dyDescent="0.2">
      <c r="A5" s="223" t="s">
        <v>2</v>
      </c>
      <c r="B5" s="223"/>
      <c r="C5" s="223"/>
      <c r="D5" s="223"/>
    </row>
    <row r="6" spans="1:4" ht="12.75" customHeight="1" x14ac:dyDescent="0.2">
      <c r="A6" s="5"/>
      <c r="B6" s="6" t="s">
        <v>57</v>
      </c>
      <c r="C6" s="219" t="s">
        <v>166</v>
      </c>
      <c r="D6" s="219"/>
    </row>
    <row r="7" spans="1:4" x14ac:dyDescent="0.2">
      <c r="A7" s="5"/>
      <c r="B7" s="6" t="s">
        <v>58</v>
      </c>
      <c r="C7" s="219" t="s">
        <v>167</v>
      </c>
      <c r="D7" s="219"/>
    </row>
    <row r="8" spans="1:4" x14ac:dyDescent="0.2">
      <c r="A8" s="5"/>
      <c r="B8" s="6" t="s">
        <v>59</v>
      </c>
      <c r="C8" s="216" t="s">
        <v>228</v>
      </c>
      <c r="D8" s="216"/>
    </row>
    <row r="9" spans="1:4" x14ac:dyDescent="0.2">
      <c r="A9" s="5"/>
      <c r="B9" s="6" t="s">
        <v>61</v>
      </c>
      <c r="C9" s="204" t="s">
        <v>168</v>
      </c>
      <c r="D9" s="204"/>
    </row>
    <row r="10" spans="1:4" x14ac:dyDescent="0.2">
      <c r="A10" s="5"/>
      <c r="B10" s="6" t="s">
        <v>42</v>
      </c>
      <c r="C10" s="220">
        <v>2023</v>
      </c>
      <c r="D10" s="220"/>
    </row>
    <row r="11" spans="1:4" ht="12.75" customHeight="1" x14ac:dyDescent="0.2">
      <c r="A11" s="5"/>
      <c r="B11" s="6" t="s">
        <v>48</v>
      </c>
      <c r="C11" s="204" t="s">
        <v>169</v>
      </c>
      <c r="D11" s="204"/>
    </row>
    <row r="12" spans="1:4" x14ac:dyDescent="0.2">
      <c r="A12" s="5"/>
      <c r="B12" s="6" t="s">
        <v>53</v>
      </c>
      <c r="C12" s="216" t="s">
        <v>170</v>
      </c>
      <c r="D12" s="216"/>
    </row>
    <row r="13" spans="1:4" x14ac:dyDescent="0.2">
      <c r="A13" s="7"/>
      <c r="B13" s="8" t="s">
        <v>55</v>
      </c>
      <c r="C13" s="217" t="s">
        <v>145</v>
      </c>
      <c r="D13" s="217"/>
    </row>
    <row r="14" spans="1:4" ht="12.75" customHeight="1" x14ac:dyDescent="0.2">
      <c r="A14" s="9"/>
      <c r="B14" s="9"/>
      <c r="C14" s="9"/>
      <c r="D14" s="9"/>
    </row>
    <row r="15" spans="1:4" ht="12.75" customHeight="1" x14ac:dyDescent="0.2">
      <c r="A15" s="213" t="s">
        <v>3</v>
      </c>
      <c r="B15" s="213"/>
      <c r="C15" s="213"/>
      <c r="D15" s="213"/>
    </row>
    <row r="16" spans="1:4" x14ac:dyDescent="0.2">
      <c r="A16" s="5"/>
      <c r="B16" s="6" t="s">
        <v>106</v>
      </c>
      <c r="C16" s="218" t="s">
        <v>139</v>
      </c>
      <c r="D16" s="218"/>
    </row>
    <row r="17" spans="1:7" x14ac:dyDescent="0.2">
      <c r="A17" s="5"/>
      <c r="B17" s="6" t="s">
        <v>147</v>
      </c>
      <c r="C17" s="204" t="s">
        <v>140</v>
      </c>
      <c r="D17" s="204"/>
    </row>
    <row r="18" spans="1:7" x14ac:dyDescent="0.2">
      <c r="A18" s="7"/>
      <c r="B18" s="8" t="s">
        <v>65</v>
      </c>
      <c r="C18" s="212"/>
      <c r="D18" s="212"/>
    </row>
    <row r="19" spans="1:7" x14ac:dyDescent="0.2">
      <c r="A19" s="9"/>
      <c r="B19" s="9"/>
      <c r="C19" s="9"/>
      <c r="D19" s="9"/>
    </row>
    <row r="20" spans="1:7" x14ac:dyDescent="0.2">
      <c r="A20" s="213" t="s">
        <v>43</v>
      </c>
      <c r="B20" s="213"/>
      <c r="C20" s="213"/>
      <c r="D20" s="213"/>
    </row>
    <row r="21" spans="1:7" x14ac:dyDescent="0.2">
      <c r="A21" s="47" t="s">
        <v>44</v>
      </c>
      <c r="B21" s="6" t="s">
        <v>103</v>
      </c>
      <c r="C21" s="214" t="str">
        <f>C16</f>
        <v>limpeza e conservação</v>
      </c>
      <c r="D21" s="214"/>
    </row>
    <row r="22" spans="1:7" x14ac:dyDescent="0.2">
      <c r="A22" s="47" t="s">
        <v>45</v>
      </c>
      <c r="B22" s="6" t="s">
        <v>66</v>
      </c>
      <c r="C22" s="215">
        <v>1380</v>
      </c>
      <c r="D22" s="215"/>
    </row>
    <row r="23" spans="1:7" x14ac:dyDescent="0.2">
      <c r="A23" s="47" t="s">
        <v>46</v>
      </c>
      <c r="B23" s="6" t="s">
        <v>104</v>
      </c>
      <c r="C23" s="204"/>
      <c r="D23" s="204"/>
    </row>
    <row r="24" spans="1:7" x14ac:dyDescent="0.2">
      <c r="A24" s="48" t="s">
        <v>47</v>
      </c>
      <c r="B24" s="8" t="s">
        <v>54</v>
      </c>
      <c r="C24" s="205" t="s">
        <v>171</v>
      </c>
      <c r="D24" s="205"/>
    </row>
    <row r="25" spans="1:7" s="2" customFormat="1" ht="33" customHeight="1" x14ac:dyDescent="0.2">
      <c r="A25" s="206" t="s">
        <v>0</v>
      </c>
      <c r="B25" s="206"/>
      <c r="C25" s="206"/>
      <c r="D25" s="206"/>
    </row>
    <row r="26" spans="1:7" s="2" customFormat="1" x14ac:dyDescent="0.2">
      <c r="A26" s="194" t="s">
        <v>4</v>
      </c>
      <c r="B26" s="194"/>
      <c r="C26" s="194"/>
      <c r="D26" s="194"/>
    </row>
    <row r="27" spans="1:7" s="2" customFormat="1" x14ac:dyDescent="0.2">
      <c r="A27" s="15"/>
      <c r="B27" s="23"/>
      <c r="C27" s="40"/>
      <c r="D27" s="58">
        <f>C22</f>
        <v>1380</v>
      </c>
      <c r="F27" s="1"/>
      <c r="G27" s="1"/>
    </row>
    <row r="28" spans="1:7" s="2" customFormat="1" ht="12.75" customHeight="1" x14ac:dyDescent="0.2">
      <c r="A28" s="12" t="s">
        <v>6</v>
      </c>
      <c r="B28" s="16" t="s">
        <v>7</v>
      </c>
      <c r="C28" s="41"/>
      <c r="D28" s="14"/>
      <c r="F28" s="1"/>
      <c r="G28" s="1"/>
    </row>
    <row r="29" spans="1:7" s="2" customFormat="1" ht="12.75" customHeight="1" x14ac:dyDescent="0.2">
      <c r="A29" s="12" t="s">
        <v>8</v>
      </c>
      <c r="B29" s="16" t="s">
        <v>9</v>
      </c>
      <c r="C29" s="41"/>
      <c r="D29" s="14"/>
      <c r="F29" s="1"/>
      <c r="G29" s="1"/>
    </row>
    <row r="30" spans="1:7" s="2" customFormat="1" ht="12.75" customHeight="1" x14ac:dyDescent="0.2">
      <c r="A30" s="12" t="s">
        <v>10</v>
      </c>
      <c r="B30" s="16" t="s">
        <v>11</v>
      </c>
      <c r="C30" s="41"/>
      <c r="D30" s="55">
        <v>0</v>
      </c>
      <c r="F30" s="1"/>
      <c r="G30" s="1"/>
    </row>
    <row r="31" spans="1:7" s="2" customFormat="1" ht="12.75" customHeight="1" x14ac:dyDescent="0.2">
      <c r="A31" s="12" t="s">
        <v>12</v>
      </c>
      <c r="B31" s="16" t="s">
        <v>227</v>
      </c>
      <c r="C31" s="41"/>
      <c r="D31" s="14">
        <f>(C22/220)*20%*105/52.5*60</f>
        <v>150.54545454545459</v>
      </c>
      <c r="F31" s="1"/>
      <c r="G31" s="1"/>
    </row>
    <row r="32" spans="1:7" s="2" customFormat="1" ht="12.75" customHeight="1" x14ac:dyDescent="0.2">
      <c r="A32" s="12" t="s">
        <v>13</v>
      </c>
      <c r="B32" s="16" t="s">
        <v>67</v>
      </c>
      <c r="C32" s="41"/>
      <c r="D32" s="14"/>
      <c r="F32" s="1"/>
      <c r="G32" s="1"/>
    </row>
    <row r="33" spans="1:9" ht="12.75" customHeight="1" x14ac:dyDescent="0.2">
      <c r="A33" s="12" t="s">
        <v>14</v>
      </c>
      <c r="B33" s="16" t="s">
        <v>68</v>
      </c>
      <c r="C33" s="42"/>
      <c r="D33" s="14"/>
    </row>
    <row r="34" spans="1:9" ht="12.75" customHeight="1" x14ac:dyDescent="0.2">
      <c r="A34" s="12" t="s">
        <v>15</v>
      </c>
      <c r="B34" s="16" t="s">
        <v>17</v>
      </c>
      <c r="C34" s="42"/>
      <c r="D34" s="14"/>
    </row>
    <row r="35" spans="1:9" s="3" customFormat="1" ht="12.75" customHeight="1" x14ac:dyDescent="0.2">
      <c r="A35" s="200" t="s">
        <v>82</v>
      </c>
      <c r="B35" s="192"/>
      <c r="C35" s="43"/>
      <c r="D35" s="58">
        <f>SUM(D27:D34)</f>
        <v>1530.5454545454545</v>
      </c>
      <c r="F35" s="1"/>
      <c r="G35" s="135"/>
    </row>
    <row r="36" spans="1:9" ht="10.5" customHeight="1" x14ac:dyDescent="0.2">
      <c r="A36" s="9"/>
      <c r="B36" s="9"/>
      <c r="C36" s="9"/>
      <c r="D36" s="9"/>
    </row>
    <row r="37" spans="1:9" s="2" customFormat="1" ht="17.100000000000001" customHeight="1" x14ac:dyDescent="0.2">
      <c r="A37" s="194" t="s">
        <v>69</v>
      </c>
      <c r="B37" s="194"/>
      <c r="C37" s="194"/>
      <c r="D37" s="194"/>
    </row>
    <row r="38" spans="1:9" s="2" customFormat="1" x14ac:dyDescent="0.2">
      <c r="A38" s="24" t="s">
        <v>70</v>
      </c>
      <c r="B38" s="36" t="s">
        <v>71</v>
      </c>
      <c r="C38" s="40" t="s">
        <v>5</v>
      </c>
      <c r="D38" s="21" t="s">
        <v>40</v>
      </c>
    </row>
    <row r="39" spans="1:9" s="2" customFormat="1" ht="12.75" customHeight="1" x14ac:dyDescent="0.2">
      <c r="A39" s="12" t="s">
        <v>6</v>
      </c>
      <c r="B39" s="16" t="s">
        <v>29</v>
      </c>
      <c r="C39" s="13">
        <v>8.3299999999999999E-2</v>
      </c>
      <c r="D39" s="14">
        <f>C39*$D$35</f>
        <v>127.49443636363635</v>
      </c>
    </row>
    <row r="40" spans="1:9" s="2" customFormat="1" ht="12.75" customHeight="1" x14ac:dyDescent="0.2">
      <c r="A40" s="12" t="s">
        <v>8</v>
      </c>
      <c r="B40" s="16" t="s">
        <v>72</v>
      </c>
      <c r="C40" s="13">
        <v>0.1111</v>
      </c>
      <c r="D40" s="14">
        <f>C40*$D$35</f>
        <v>170.0436</v>
      </c>
    </row>
    <row r="41" spans="1:9" s="2" customFormat="1" ht="12.75" customHeight="1" x14ac:dyDescent="0.2">
      <c r="A41" s="207" t="s">
        <v>27</v>
      </c>
      <c r="B41" s="208"/>
      <c r="C41" s="209"/>
      <c r="D41" s="25">
        <f>SUM(D39:D40)</f>
        <v>297.53803636363637</v>
      </c>
    </row>
    <row r="42" spans="1:9" s="2" customFormat="1" ht="12.75" customHeight="1" x14ac:dyDescent="0.2">
      <c r="A42" s="207"/>
      <c r="B42" s="210"/>
      <c r="C42" s="210"/>
      <c r="D42" s="211"/>
      <c r="I42" s="134"/>
    </row>
    <row r="43" spans="1:9" s="2" customFormat="1" ht="12.75" customHeight="1" x14ac:dyDescent="0.2">
      <c r="A43" s="24" t="s">
        <v>73</v>
      </c>
      <c r="B43" s="36" t="s">
        <v>74</v>
      </c>
      <c r="C43" s="40" t="s">
        <v>5</v>
      </c>
      <c r="D43" s="21" t="s">
        <v>40</v>
      </c>
    </row>
    <row r="44" spans="1:9" s="2" customFormat="1" ht="12.75" customHeight="1" x14ac:dyDescent="0.2">
      <c r="A44" s="12" t="s">
        <v>6</v>
      </c>
      <c r="B44" s="16" t="s">
        <v>22</v>
      </c>
      <c r="C44" s="13">
        <v>0.2</v>
      </c>
      <c r="D44" s="14">
        <f>D35*C44</f>
        <v>306.10909090909092</v>
      </c>
    </row>
    <row r="45" spans="1:9" s="2" customFormat="1" ht="12.75" customHeight="1" x14ac:dyDescent="0.2">
      <c r="A45" s="12" t="s">
        <v>8</v>
      </c>
      <c r="B45" s="16" t="s">
        <v>24</v>
      </c>
      <c r="C45" s="13">
        <v>2.5000000000000001E-2</v>
      </c>
      <c r="D45" s="14">
        <f>D35*C45</f>
        <v>38.263636363636365</v>
      </c>
    </row>
    <row r="46" spans="1:9" s="2" customFormat="1" ht="12.75" customHeight="1" x14ac:dyDescent="0.2">
      <c r="A46" s="12" t="s">
        <v>10</v>
      </c>
      <c r="B46" s="16" t="s">
        <v>75</v>
      </c>
      <c r="C46" s="136">
        <v>0.03</v>
      </c>
      <c r="D46" s="14">
        <f>D35*C46</f>
        <v>45.916363636363634</v>
      </c>
    </row>
    <row r="47" spans="1:9" s="2" customFormat="1" ht="12.75" customHeight="1" x14ac:dyDescent="0.2">
      <c r="A47" s="12" t="s">
        <v>12</v>
      </c>
      <c r="B47" s="16" t="s">
        <v>76</v>
      </c>
      <c r="C47" s="13">
        <v>1.4999999999999999E-2</v>
      </c>
      <c r="D47" s="14">
        <f>D35*C47</f>
        <v>22.958181818181817</v>
      </c>
    </row>
    <row r="48" spans="1:9" ht="12.75" customHeight="1" x14ac:dyDescent="0.2">
      <c r="A48" s="12" t="s">
        <v>13</v>
      </c>
      <c r="B48" s="16" t="s">
        <v>77</v>
      </c>
      <c r="C48" s="13">
        <v>0.01</v>
      </c>
      <c r="D48" s="14">
        <f>D35*C48</f>
        <v>15.305454545454545</v>
      </c>
      <c r="I48" s="135"/>
    </row>
    <row r="49" spans="1:7" s="3" customFormat="1" ht="17.100000000000001" customHeight="1" x14ac:dyDescent="0.2">
      <c r="A49" s="12" t="s">
        <v>14</v>
      </c>
      <c r="B49" s="16" t="s">
        <v>26</v>
      </c>
      <c r="C49" s="13">
        <v>6.0000000000000001E-3</v>
      </c>
      <c r="D49" s="14">
        <f>D35*C49</f>
        <v>9.1832727272727279</v>
      </c>
    </row>
    <row r="50" spans="1:7" ht="12.75" customHeight="1" x14ac:dyDescent="0.2">
      <c r="A50" s="12" t="s">
        <v>15</v>
      </c>
      <c r="B50" s="16" t="s">
        <v>23</v>
      </c>
      <c r="C50" s="13">
        <v>2E-3</v>
      </c>
      <c r="D50" s="14">
        <f>D35*C50</f>
        <v>3.0610909090909089</v>
      </c>
    </row>
    <row r="51" spans="1:7" s="2" customFormat="1" ht="12.75" customHeight="1" x14ac:dyDescent="0.2">
      <c r="A51" s="12" t="s">
        <v>16</v>
      </c>
      <c r="B51" s="16" t="s">
        <v>25</v>
      </c>
      <c r="C51" s="13">
        <v>0.08</v>
      </c>
      <c r="D51" s="14">
        <f>D35*C51</f>
        <v>122.44363636363636</v>
      </c>
    </row>
    <row r="52" spans="1:7" s="2" customFormat="1" x14ac:dyDescent="0.2">
      <c r="A52" s="200" t="s">
        <v>27</v>
      </c>
      <c r="B52" s="192"/>
      <c r="C52" s="43">
        <f>SUM(C44:C51)</f>
        <v>0.36800000000000005</v>
      </c>
      <c r="D52" s="19">
        <f>SUM(D44:D51)</f>
        <v>563.24072727272733</v>
      </c>
    </row>
    <row r="53" spans="1:7" s="2" customFormat="1" x14ac:dyDescent="0.2">
      <c r="A53" s="200"/>
      <c r="B53" s="192"/>
      <c r="C53" s="192"/>
      <c r="D53" s="193"/>
    </row>
    <row r="54" spans="1:7" s="2" customFormat="1" x14ac:dyDescent="0.2">
      <c r="A54" s="20" t="s">
        <v>78</v>
      </c>
      <c r="B54" s="198" t="s">
        <v>79</v>
      </c>
      <c r="C54" s="199"/>
      <c r="D54" s="28" t="s">
        <v>40</v>
      </c>
    </row>
    <row r="55" spans="1:7" s="2" customFormat="1" ht="12.75" customHeight="1" x14ac:dyDescent="0.2">
      <c r="A55" s="12" t="s">
        <v>6</v>
      </c>
      <c r="B55" s="16" t="s">
        <v>18</v>
      </c>
      <c r="C55" s="55">
        <v>0</v>
      </c>
      <c r="D55" s="14">
        <v>0</v>
      </c>
      <c r="E55" s="134">
        <f>C55*22*2</f>
        <v>0</v>
      </c>
      <c r="F55" s="2">
        <f>D35*6%</f>
        <v>91.832727272727269</v>
      </c>
      <c r="G55" s="2">
        <f>E55-F55</f>
        <v>-91.832727272727269</v>
      </c>
    </row>
    <row r="56" spans="1:7" s="2" customFormat="1" ht="12.75" customHeight="1" x14ac:dyDescent="0.2">
      <c r="A56" s="12" t="s">
        <v>8</v>
      </c>
      <c r="B56" s="16" t="s">
        <v>80</v>
      </c>
      <c r="C56" s="55">
        <v>18.2</v>
      </c>
      <c r="D56" s="14">
        <f>G56</f>
        <v>356.35599999999999</v>
      </c>
      <c r="E56" s="137">
        <f>C56*22</f>
        <v>400.4</v>
      </c>
      <c r="F56" s="137">
        <f>E56*11%</f>
        <v>44.043999999999997</v>
      </c>
      <c r="G56" s="134">
        <f>E56-F56</f>
        <v>356.35599999999999</v>
      </c>
    </row>
    <row r="57" spans="1:7" s="2" customFormat="1" ht="12.75" customHeight="1" x14ac:dyDescent="0.2">
      <c r="A57" s="12" t="s">
        <v>10</v>
      </c>
      <c r="B57" s="16" t="s">
        <v>155</v>
      </c>
      <c r="C57" s="54"/>
      <c r="D57" s="14">
        <v>0</v>
      </c>
    </row>
    <row r="58" spans="1:7" s="2" customFormat="1" ht="12.75" customHeight="1" x14ac:dyDescent="0.2">
      <c r="A58" s="12" t="s">
        <v>12</v>
      </c>
      <c r="B58" s="16" t="s">
        <v>144</v>
      </c>
      <c r="C58" s="54"/>
      <c r="D58" s="14">
        <v>0</v>
      </c>
    </row>
    <row r="59" spans="1:7" s="2" customFormat="1" ht="12.75" customHeight="1" x14ac:dyDescent="0.2">
      <c r="A59" s="12" t="s">
        <v>13</v>
      </c>
      <c r="B59" s="16" t="s">
        <v>156</v>
      </c>
      <c r="C59" s="41"/>
      <c r="D59" s="14">
        <v>0</v>
      </c>
      <c r="G59" s="130"/>
    </row>
    <row r="60" spans="1:7" s="2" customFormat="1" ht="12.75" customHeight="1" x14ac:dyDescent="0.2">
      <c r="A60" s="12" t="s">
        <v>14</v>
      </c>
      <c r="B60" s="16" t="s">
        <v>172</v>
      </c>
      <c r="C60" s="41"/>
      <c r="D60" s="14">
        <v>16</v>
      </c>
    </row>
    <row r="61" spans="1:7" s="2" customFormat="1" ht="12.75" customHeight="1" x14ac:dyDescent="0.2">
      <c r="A61" s="57" t="s">
        <v>15</v>
      </c>
      <c r="B61" s="66" t="s">
        <v>105</v>
      </c>
      <c r="C61" s="41"/>
      <c r="D61" s="122">
        <v>2.54</v>
      </c>
    </row>
    <row r="62" spans="1:7" s="2" customFormat="1" ht="12.75" customHeight="1" x14ac:dyDescent="0.2">
      <c r="A62" s="57"/>
      <c r="B62" s="62"/>
      <c r="C62" s="41"/>
      <c r="D62" s="14"/>
      <c r="E62" s="134"/>
    </row>
    <row r="63" spans="1:7" s="2" customFormat="1" ht="12.75" customHeight="1" x14ac:dyDescent="0.2">
      <c r="A63" s="200" t="s">
        <v>27</v>
      </c>
      <c r="B63" s="192"/>
      <c r="C63" s="193"/>
      <c r="D63" s="19">
        <f>SUM(D55:D62)</f>
        <v>374.89600000000002</v>
      </c>
      <c r="E63" s="134"/>
    </row>
    <row r="64" spans="1:7" ht="28.35" customHeight="1" x14ac:dyDescent="0.2">
      <c r="A64" s="9"/>
      <c r="B64" s="9"/>
      <c r="C64" s="9"/>
      <c r="D64" s="9"/>
      <c r="E64" s="135"/>
    </row>
    <row r="65" spans="1:7" x14ac:dyDescent="0.2">
      <c r="A65" s="198" t="s">
        <v>90</v>
      </c>
      <c r="B65" s="201"/>
      <c r="C65" s="199"/>
      <c r="D65" s="19"/>
    </row>
    <row r="66" spans="1:7" s="2" customFormat="1" ht="12.75" customHeight="1" x14ac:dyDescent="0.2">
      <c r="A66" s="27" t="s">
        <v>70</v>
      </c>
      <c r="B66" s="184" t="s">
        <v>81</v>
      </c>
      <c r="C66" s="184"/>
      <c r="D66" s="19">
        <f>D41</f>
        <v>297.53803636363637</v>
      </c>
    </row>
    <row r="67" spans="1:7" s="4" customFormat="1" x14ac:dyDescent="0.2">
      <c r="A67" s="27" t="s">
        <v>73</v>
      </c>
      <c r="B67" s="184" t="s">
        <v>74</v>
      </c>
      <c r="C67" s="184"/>
      <c r="D67" s="19">
        <f>D52</f>
        <v>563.24072727272733</v>
      </c>
      <c r="F67" s="2"/>
      <c r="G67" s="2"/>
    </row>
    <row r="68" spans="1:7" s="2" customFormat="1" ht="12.75" customHeight="1" x14ac:dyDescent="0.2">
      <c r="A68" s="27" t="s">
        <v>78</v>
      </c>
      <c r="B68" s="184" t="s">
        <v>79</v>
      </c>
      <c r="C68" s="184"/>
      <c r="D68" s="19">
        <f>D63</f>
        <v>374.89600000000002</v>
      </c>
    </row>
    <row r="69" spans="1:7" s="2" customFormat="1" ht="12.75" customHeight="1" x14ac:dyDescent="0.2">
      <c r="A69" s="189" t="s">
        <v>27</v>
      </c>
      <c r="B69" s="190"/>
      <c r="C69" s="191"/>
      <c r="D69" s="19">
        <f>SUM(D66:D68)</f>
        <v>1235.6747636363637</v>
      </c>
    </row>
    <row r="70" spans="1:7" s="2" customFormat="1" ht="12.75" customHeight="1" x14ac:dyDescent="0.2"/>
    <row r="71" spans="1:7" s="2" customFormat="1" ht="12.75" customHeight="1" x14ac:dyDescent="0.2">
      <c r="A71" s="194" t="s">
        <v>83</v>
      </c>
      <c r="B71" s="194"/>
      <c r="C71" s="194"/>
      <c r="D71" s="194"/>
    </row>
    <row r="72" spans="1:7" s="2" customFormat="1" ht="12.75" customHeight="1" x14ac:dyDescent="0.2">
      <c r="A72" s="202"/>
      <c r="B72" s="203"/>
      <c r="C72" s="40" t="s">
        <v>5</v>
      </c>
      <c r="D72" s="21" t="s">
        <v>40</v>
      </c>
    </row>
    <row r="73" spans="1:7" s="3" customFormat="1" ht="17.100000000000001" customHeight="1" x14ac:dyDescent="0.2">
      <c r="A73" s="12" t="s">
        <v>6</v>
      </c>
      <c r="B73" s="16" t="s">
        <v>32</v>
      </c>
      <c r="C73" s="13">
        <v>4.1999999999999997E-3</v>
      </c>
      <c r="D73" s="128">
        <f>D27*C73</f>
        <v>5.7959999999999994</v>
      </c>
      <c r="F73" s="2"/>
      <c r="G73" s="2"/>
    </row>
    <row r="74" spans="1:7" ht="15" customHeight="1" x14ac:dyDescent="0.2">
      <c r="A74" s="12" t="s">
        <v>8</v>
      </c>
      <c r="B74" s="16" t="s">
        <v>50</v>
      </c>
      <c r="C74" s="41"/>
      <c r="D74" s="128">
        <f>$C$51*D73</f>
        <v>0.46367999999999998</v>
      </c>
      <c r="F74" s="2"/>
      <c r="G74" s="2"/>
    </row>
    <row r="75" spans="1:7" s="4" customFormat="1" x14ac:dyDescent="0.2">
      <c r="A75" s="123" t="s">
        <v>10</v>
      </c>
      <c r="B75" s="16" t="s">
        <v>62</v>
      </c>
      <c r="C75" s="64">
        <v>4.3499999999999997E-2</v>
      </c>
      <c r="D75" s="129">
        <f>D35*C75</f>
        <v>66.578727272727264</v>
      </c>
      <c r="F75" s="2"/>
      <c r="G75" s="2"/>
    </row>
    <row r="76" spans="1:7" s="2" customFormat="1" ht="12.75" customHeight="1" x14ac:dyDescent="0.2">
      <c r="A76" s="12" t="s">
        <v>12</v>
      </c>
      <c r="B76" s="132" t="s">
        <v>33</v>
      </c>
      <c r="C76" s="136">
        <v>4.0000000000000002E-4</v>
      </c>
      <c r="D76" s="128">
        <f>D27*C76</f>
        <v>0.55200000000000005</v>
      </c>
    </row>
    <row r="77" spans="1:7" s="3" customFormat="1" x14ac:dyDescent="0.2">
      <c r="A77" s="12" t="s">
        <v>13</v>
      </c>
      <c r="B77" s="16" t="s">
        <v>63</v>
      </c>
      <c r="C77" s="41"/>
      <c r="D77" s="14">
        <f>$C$52*D76</f>
        <v>0.20313600000000004</v>
      </c>
      <c r="F77" s="2"/>
      <c r="G77" s="2"/>
    </row>
    <row r="78" spans="1:7" s="2" customFormat="1" ht="12.75" customHeight="1" x14ac:dyDescent="0.2">
      <c r="A78" s="123" t="s">
        <v>14</v>
      </c>
      <c r="B78" s="16" t="s">
        <v>64</v>
      </c>
      <c r="C78" s="64">
        <v>6.4999999999999997E-3</v>
      </c>
      <c r="D78" s="65">
        <f>D35*C78</f>
        <v>9.948545454545453</v>
      </c>
    </row>
    <row r="79" spans="1:7" s="3" customFormat="1" x14ac:dyDescent="0.2">
      <c r="A79" s="38" t="s">
        <v>27</v>
      </c>
      <c r="B79" s="124"/>
      <c r="C79" s="125">
        <f>SUM(C73:C78)</f>
        <v>5.4599999999999996E-2</v>
      </c>
      <c r="D79" s="19">
        <f>SUM(D73:D78)</f>
        <v>83.542088727272727</v>
      </c>
      <c r="F79" s="2"/>
      <c r="G79" s="2"/>
    </row>
    <row r="80" spans="1:7" ht="15" customHeight="1" x14ac:dyDescent="0.2">
      <c r="A80" s="9"/>
      <c r="B80" s="9"/>
      <c r="C80" s="9"/>
      <c r="D80" s="9"/>
      <c r="F80" s="2"/>
      <c r="G80" s="2"/>
    </row>
    <row r="81" spans="1:9" ht="15" customHeight="1" x14ac:dyDescent="0.2">
      <c r="A81" s="194" t="s">
        <v>84</v>
      </c>
      <c r="B81" s="194"/>
      <c r="C81" s="194"/>
      <c r="D81" s="194"/>
      <c r="F81" s="2"/>
      <c r="G81" s="2"/>
    </row>
    <row r="82" spans="1:9" s="4" customFormat="1" x14ac:dyDescent="0.2">
      <c r="A82" s="24" t="s">
        <v>21</v>
      </c>
      <c r="B82" s="36" t="s">
        <v>85</v>
      </c>
      <c r="C82" s="40" t="s">
        <v>5</v>
      </c>
      <c r="D82" s="21" t="s">
        <v>40</v>
      </c>
      <c r="F82" s="2"/>
      <c r="G82" s="2"/>
    </row>
    <row r="83" spans="1:9" s="2" customFormat="1" ht="12.75" customHeight="1" x14ac:dyDescent="0.2">
      <c r="A83" s="12" t="s">
        <v>6</v>
      </c>
      <c r="B83" s="16" t="s">
        <v>86</v>
      </c>
      <c r="C83" s="13">
        <v>8.3299999999999999E-2</v>
      </c>
      <c r="D83" s="14">
        <f t="shared" ref="D83:D88" si="0">C83*$D$35</f>
        <v>127.49443636363635</v>
      </c>
    </row>
    <row r="84" spans="1:9" s="2" customFormat="1" ht="12.75" customHeight="1" x14ac:dyDescent="0.2">
      <c r="A84" s="12" t="s">
        <v>8</v>
      </c>
      <c r="B84" s="16" t="s">
        <v>85</v>
      </c>
      <c r="C84" s="13">
        <v>2.2200000000000001E-2</v>
      </c>
      <c r="D84" s="14">
        <f t="shared" si="0"/>
        <v>33.978109090909093</v>
      </c>
    </row>
    <row r="85" spans="1:9" s="3" customFormat="1" x14ac:dyDescent="0.2">
      <c r="A85" s="12" t="s">
        <v>10</v>
      </c>
      <c r="B85" s="16" t="s">
        <v>87</v>
      </c>
      <c r="C85" s="13">
        <v>1.4999999999999999E-2</v>
      </c>
      <c r="D85" s="14">
        <f t="shared" si="0"/>
        <v>22.958181818181817</v>
      </c>
      <c r="F85" s="2"/>
      <c r="G85" s="2"/>
    </row>
    <row r="86" spans="1:9" x14ac:dyDescent="0.2">
      <c r="A86" s="12" t="s">
        <v>12</v>
      </c>
      <c r="B86" s="16" t="s">
        <v>34</v>
      </c>
      <c r="C86" s="13">
        <v>0.01</v>
      </c>
      <c r="D86" s="14">
        <f t="shared" si="0"/>
        <v>15.305454545454545</v>
      </c>
      <c r="F86" s="2"/>
      <c r="G86" s="2"/>
    </row>
    <row r="87" spans="1:9" s="4" customFormat="1" x14ac:dyDescent="0.2">
      <c r="A87" s="12" t="s">
        <v>13</v>
      </c>
      <c r="B87" s="16" t="s">
        <v>31</v>
      </c>
      <c r="C87" s="13">
        <v>0.01</v>
      </c>
      <c r="D87" s="14">
        <f t="shared" si="0"/>
        <v>15.305454545454545</v>
      </c>
      <c r="F87" s="2"/>
      <c r="G87" s="2"/>
    </row>
    <row r="88" spans="1:9" s="2" customFormat="1" ht="12.75" customHeight="1" x14ac:dyDescent="0.2">
      <c r="A88" s="12" t="s">
        <v>14</v>
      </c>
      <c r="B88" s="16" t="s">
        <v>17</v>
      </c>
      <c r="C88" s="13">
        <v>0</v>
      </c>
      <c r="D88" s="14">
        <f t="shared" si="0"/>
        <v>0</v>
      </c>
    </row>
    <row r="89" spans="1:9" s="2" customFormat="1" ht="12.75" customHeight="1" x14ac:dyDescent="0.2">
      <c r="A89" s="12"/>
      <c r="B89" s="62"/>
      <c r="C89" s="126">
        <f>SUM(C83:C88)</f>
        <v>0.14050000000000001</v>
      </c>
      <c r="D89" s="14">
        <f>SUM(D83:D88)</f>
        <v>215.04163636363637</v>
      </c>
    </row>
    <row r="90" spans="1:9" s="2" customFormat="1" ht="12.75" customHeight="1" x14ac:dyDescent="0.2">
      <c r="A90" s="18"/>
      <c r="B90" s="138" t="s">
        <v>27</v>
      </c>
      <c r="C90" s="43">
        <f>C39+C40+C52+C79+C89</f>
        <v>0.75750000000000006</v>
      </c>
      <c r="D90" s="19">
        <f>D89</f>
        <v>215.04163636363637</v>
      </c>
    </row>
    <row r="91" spans="1:9" s="2" customFormat="1" ht="12.75" customHeight="1" x14ac:dyDescent="0.2">
      <c r="A91" s="139"/>
      <c r="D91" s="19">
        <f>SUM(D90:D90)</f>
        <v>215.04163636363637</v>
      </c>
    </row>
    <row r="92" spans="1:9" s="2" customFormat="1" ht="12.75" customHeight="1" x14ac:dyDescent="0.2">
      <c r="A92" s="18"/>
      <c r="B92" s="138" t="s">
        <v>27</v>
      </c>
      <c r="C92" s="43">
        <f>C90</f>
        <v>0.75750000000000006</v>
      </c>
      <c r="D92" s="26">
        <f>C90*D27</f>
        <v>1045.3500000000001</v>
      </c>
      <c r="E92" s="127"/>
      <c r="F92" s="3"/>
      <c r="G92" s="3"/>
      <c r="H92" s="3"/>
      <c r="I92" s="3"/>
    </row>
    <row r="93" spans="1:9" s="2" customFormat="1" ht="12.75" customHeight="1" x14ac:dyDescent="0.2">
      <c r="A93" s="18"/>
      <c r="B93" s="138"/>
      <c r="C93" s="43"/>
      <c r="D93" s="19"/>
      <c r="E93" s="127"/>
      <c r="F93" s="3"/>
      <c r="G93" s="3"/>
      <c r="H93" s="3"/>
      <c r="I93" s="3"/>
    </row>
    <row r="94" spans="1:9" s="2" customFormat="1" ht="12.75" customHeight="1" x14ac:dyDescent="0.2">
      <c r="A94" s="20" t="s">
        <v>28</v>
      </c>
      <c r="B94" s="198" t="s">
        <v>88</v>
      </c>
      <c r="C94" s="199"/>
      <c r="D94" s="28" t="s">
        <v>40</v>
      </c>
      <c r="F94" s="3"/>
      <c r="G94" s="3"/>
      <c r="H94" s="3"/>
      <c r="I94" s="3"/>
    </row>
    <row r="95" spans="1:9" s="2" customFormat="1" ht="12.75" customHeight="1" x14ac:dyDescent="0.2">
      <c r="A95" s="12" t="s">
        <v>6</v>
      </c>
      <c r="B95" s="16" t="s">
        <v>89</v>
      </c>
      <c r="C95" s="54"/>
      <c r="D95" s="14">
        <v>0</v>
      </c>
      <c r="F95" s="3"/>
      <c r="G95" s="3"/>
      <c r="H95" s="3"/>
      <c r="I95" s="3"/>
    </row>
    <row r="96" spans="1:9" s="2" customFormat="1" ht="12.75" customHeight="1" x14ac:dyDescent="0.2">
      <c r="A96" s="200" t="s">
        <v>27</v>
      </c>
      <c r="B96" s="192"/>
      <c r="C96" s="193"/>
      <c r="D96" s="19">
        <f>D95</f>
        <v>0</v>
      </c>
      <c r="F96" s="3"/>
      <c r="G96" s="3"/>
      <c r="H96" s="3"/>
      <c r="I96" s="3"/>
    </row>
    <row r="97" spans="1:9" s="2" customFormat="1" ht="12.75" customHeight="1" x14ac:dyDescent="0.2">
      <c r="A97" s="20"/>
      <c r="B97" s="192"/>
      <c r="C97" s="192"/>
      <c r="D97" s="193"/>
      <c r="F97" s="3"/>
      <c r="G97" s="3"/>
      <c r="H97" s="3"/>
      <c r="I97" s="3"/>
    </row>
    <row r="98" spans="1:9" s="2" customFormat="1" ht="12.75" customHeight="1" x14ac:dyDescent="0.2">
      <c r="A98" s="198" t="s">
        <v>91</v>
      </c>
      <c r="B98" s="201"/>
      <c r="C98" s="199"/>
      <c r="D98" s="19"/>
      <c r="F98" s="3"/>
      <c r="G98" s="3"/>
      <c r="H98" s="3"/>
      <c r="I98" s="3"/>
    </row>
    <row r="99" spans="1:9" s="2" customFormat="1" ht="12.75" customHeight="1" x14ac:dyDescent="0.2">
      <c r="A99" s="27" t="s">
        <v>21</v>
      </c>
      <c r="B99" s="184" t="s">
        <v>85</v>
      </c>
      <c r="C99" s="184"/>
      <c r="D99" s="19">
        <f>D91</f>
        <v>215.04163636363637</v>
      </c>
      <c r="F99" s="3"/>
      <c r="G99" s="3"/>
      <c r="H99" s="3"/>
      <c r="I99" s="3"/>
    </row>
    <row r="100" spans="1:9" s="2" customFormat="1" ht="12.75" customHeight="1" x14ac:dyDescent="0.2">
      <c r="A100" s="27" t="s">
        <v>28</v>
      </c>
      <c r="B100" s="184" t="s">
        <v>88</v>
      </c>
      <c r="C100" s="184"/>
      <c r="D100" s="19">
        <f>D96</f>
        <v>0</v>
      </c>
      <c r="F100" s="3"/>
      <c r="G100" s="3"/>
      <c r="H100" s="3"/>
      <c r="I100" s="3"/>
    </row>
    <row r="101" spans="1:9" s="2" customFormat="1" ht="12.75" customHeight="1" x14ac:dyDescent="0.2">
      <c r="A101" s="189" t="s">
        <v>27</v>
      </c>
      <c r="B101" s="190"/>
      <c r="C101" s="191"/>
      <c r="D101" s="19">
        <f>SUM(D99:D100)</f>
        <v>215.04163636363637</v>
      </c>
      <c r="F101" s="3"/>
      <c r="G101" s="3"/>
      <c r="H101" s="3"/>
      <c r="I101" s="3"/>
    </row>
    <row r="102" spans="1:9" s="2" customFormat="1" ht="12.75" customHeight="1" x14ac:dyDescent="0.2">
      <c r="A102" s="20"/>
      <c r="B102" s="192"/>
      <c r="C102" s="192"/>
      <c r="D102" s="193"/>
      <c r="F102" s="3"/>
      <c r="G102" s="3"/>
      <c r="H102" s="3"/>
      <c r="I102" s="3"/>
    </row>
    <row r="103" spans="1:9" s="2" customFormat="1" ht="12.75" customHeight="1" x14ac:dyDescent="0.2">
      <c r="A103" s="194" t="s">
        <v>92</v>
      </c>
      <c r="B103" s="194"/>
      <c r="C103" s="194"/>
      <c r="D103" s="194"/>
      <c r="F103" s="3"/>
      <c r="G103" s="3"/>
      <c r="H103" s="3"/>
      <c r="I103" s="3"/>
    </row>
    <row r="104" spans="1:9" s="2" customFormat="1" ht="12.75" customHeight="1" x14ac:dyDescent="0.2">
      <c r="A104" s="22"/>
      <c r="B104" s="23"/>
      <c r="C104" s="40"/>
      <c r="D104" s="21" t="s">
        <v>40</v>
      </c>
      <c r="F104" s="3"/>
      <c r="G104" s="3"/>
      <c r="H104" s="3"/>
      <c r="I104" s="3"/>
    </row>
    <row r="105" spans="1:9" s="2" customFormat="1" ht="12.75" customHeight="1" x14ac:dyDescent="0.2">
      <c r="A105" s="12" t="s">
        <v>6</v>
      </c>
      <c r="B105" s="16" t="s">
        <v>19</v>
      </c>
      <c r="C105" s="41"/>
      <c r="D105" s="14">
        <f>Uniforme!E9</f>
        <v>43.333333333333336</v>
      </c>
      <c r="F105" s="3"/>
      <c r="G105" s="3"/>
      <c r="H105" s="3"/>
      <c r="I105" s="3"/>
    </row>
    <row r="106" spans="1:9" s="2" customFormat="1" ht="12.75" customHeight="1" x14ac:dyDescent="0.2">
      <c r="A106" s="12" t="s">
        <v>8</v>
      </c>
      <c r="B106" s="16" t="s">
        <v>20</v>
      </c>
      <c r="C106" s="41"/>
      <c r="D106" s="14">
        <v>0</v>
      </c>
      <c r="F106" s="3"/>
      <c r="G106" s="3"/>
      <c r="H106" s="3"/>
      <c r="I106" s="3"/>
    </row>
    <row r="107" spans="1:9" s="3" customFormat="1" x14ac:dyDescent="0.2">
      <c r="A107" s="12" t="s">
        <v>10</v>
      </c>
      <c r="B107" s="16" t="s">
        <v>173</v>
      </c>
      <c r="C107" s="41"/>
      <c r="D107" s="14">
        <v>30</v>
      </c>
    </row>
    <row r="108" spans="1:9" s="3" customFormat="1" x14ac:dyDescent="0.2">
      <c r="A108" s="12" t="s">
        <v>12</v>
      </c>
      <c r="B108" s="133" t="s">
        <v>143</v>
      </c>
      <c r="C108" s="41"/>
      <c r="D108" s="14">
        <v>0</v>
      </c>
    </row>
    <row r="109" spans="1:9" s="4" customFormat="1" x14ac:dyDescent="0.2">
      <c r="A109" s="12"/>
      <c r="B109" s="17" t="s">
        <v>27</v>
      </c>
      <c r="C109" s="28"/>
      <c r="D109" s="19">
        <f>D105+D106+D107+D108</f>
        <v>73.333333333333343</v>
      </c>
      <c r="F109" s="3"/>
      <c r="G109" s="3"/>
      <c r="H109" s="3"/>
      <c r="I109" s="3"/>
    </row>
    <row r="110" spans="1:9" s="4" customFormat="1" x14ac:dyDescent="0.2">
      <c r="A110" s="195"/>
      <c r="B110" s="196"/>
      <c r="C110" s="196"/>
      <c r="D110" s="197"/>
      <c r="F110" s="3"/>
      <c r="G110" s="3"/>
      <c r="H110" s="3"/>
      <c r="I110" s="3"/>
    </row>
    <row r="111" spans="1:9" s="2" customFormat="1" ht="12.75" customHeight="1" x14ac:dyDescent="0.2">
      <c r="A111" s="187" t="s">
        <v>93</v>
      </c>
      <c r="B111" s="187"/>
      <c r="C111" s="187"/>
      <c r="D111" s="187"/>
      <c r="F111" s="3"/>
      <c r="G111" s="3"/>
      <c r="H111" s="3"/>
      <c r="I111" s="3"/>
    </row>
    <row r="112" spans="1:9" s="2" customFormat="1" ht="12.75" customHeight="1" x14ac:dyDescent="0.2">
      <c r="A112" s="29"/>
      <c r="B112" s="23"/>
      <c r="C112" s="21" t="s">
        <v>5</v>
      </c>
      <c r="D112" s="21" t="s">
        <v>40</v>
      </c>
      <c r="F112" s="3"/>
      <c r="G112" s="3"/>
      <c r="H112" s="3"/>
      <c r="I112" s="3"/>
    </row>
    <row r="113" spans="1:9" s="2" customFormat="1" ht="12.75" customHeight="1" x14ac:dyDescent="0.2">
      <c r="A113" s="12" t="s">
        <v>6</v>
      </c>
      <c r="B113" s="16" t="s">
        <v>35</v>
      </c>
      <c r="C113" s="13">
        <v>5.3400000000000003E-2</v>
      </c>
      <c r="D113" s="14">
        <f>D130*C113</f>
        <v>167.57653057076365</v>
      </c>
      <c r="E113" s="137">
        <f>Resumo!D115</f>
        <v>1004342.4501434504</v>
      </c>
      <c r="F113" s="3"/>
      <c r="G113" s="3"/>
      <c r="H113" s="3"/>
      <c r="I113" s="3"/>
    </row>
    <row r="114" spans="1:9" s="2" customFormat="1" ht="12.75" customHeight="1" x14ac:dyDescent="0.2">
      <c r="A114" s="12" t="s">
        <v>8</v>
      </c>
      <c r="B114" s="16" t="s">
        <v>37</v>
      </c>
      <c r="C114" s="13">
        <v>0.06</v>
      </c>
      <c r="D114" s="30">
        <f>(D130+D113)*C114</f>
        <v>198.34282843060947</v>
      </c>
      <c r="E114" s="137"/>
      <c r="F114" s="3"/>
      <c r="G114" s="3"/>
      <c r="H114" s="3"/>
      <c r="I114" s="3"/>
    </row>
    <row r="115" spans="1:9" s="2" customFormat="1" ht="12.75" customHeight="1" x14ac:dyDescent="0.2">
      <c r="A115" s="12" t="s">
        <v>10</v>
      </c>
      <c r="B115" s="16" t="s">
        <v>36</v>
      </c>
      <c r="C115" s="44"/>
      <c r="D115" s="30"/>
      <c r="F115" s="3"/>
      <c r="G115" s="3"/>
      <c r="H115" s="3"/>
      <c r="I115" s="3"/>
    </row>
    <row r="116" spans="1:9" s="2" customFormat="1" ht="12.75" customHeight="1" x14ac:dyDescent="0.2">
      <c r="A116" s="12"/>
      <c r="B116" s="16" t="s">
        <v>230</v>
      </c>
      <c r="C116" s="13">
        <v>6.7400000000000002E-2</v>
      </c>
      <c r="D116" s="14">
        <f>C116*$H$138</f>
        <v>267.58828148645034</v>
      </c>
      <c r="F116" s="3"/>
      <c r="G116" s="3"/>
      <c r="H116" s="3"/>
      <c r="I116" s="3"/>
    </row>
    <row r="117" spans="1:9" s="3" customFormat="1" x14ac:dyDescent="0.2">
      <c r="A117" s="12"/>
      <c r="B117" s="16" t="s">
        <v>94</v>
      </c>
      <c r="C117" s="13">
        <v>0</v>
      </c>
      <c r="D117" s="14">
        <f>C117*$H$138</f>
        <v>0</v>
      </c>
    </row>
    <row r="118" spans="1:9" s="2" customFormat="1" ht="12.75" customHeight="1" x14ac:dyDescent="0.2">
      <c r="A118" s="12"/>
      <c r="B118" s="16" t="s">
        <v>95</v>
      </c>
      <c r="C118" s="13">
        <v>0.05</v>
      </c>
      <c r="D118" s="14">
        <f>C118*$H$138</f>
        <v>198.50762721546761</v>
      </c>
      <c r="F118" s="3"/>
      <c r="G118" s="3"/>
      <c r="H118" s="3"/>
      <c r="I118" s="3"/>
    </row>
    <row r="119" spans="1:9" s="3" customFormat="1" x14ac:dyDescent="0.2">
      <c r="A119" s="12"/>
      <c r="B119" s="16" t="s">
        <v>96</v>
      </c>
      <c r="C119" s="13"/>
      <c r="D119" s="14">
        <f>C119*$H$138</f>
        <v>0</v>
      </c>
    </row>
    <row r="120" spans="1:9" s="3" customFormat="1" x14ac:dyDescent="0.2">
      <c r="A120" s="31"/>
      <c r="B120" s="20" t="s">
        <v>27</v>
      </c>
      <c r="C120" s="43">
        <f>SUM(C113:C119)</f>
        <v>0.23080000000000001</v>
      </c>
      <c r="D120" s="19">
        <f>SUM(D113:D119)</f>
        <v>832.0152677032911</v>
      </c>
      <c r="H120" s="140"/>
    </row>
    <row r="121" spans="1:9" s="3" customFormat="1" ht="15" customHeight="1" x14ac:dyDescent="0.2">
      <c r="A121" s="9"/>
      <c r="B121" s="9"/>
      <c r="C121" s="9"/>
      <c r="D121" s="9"/>
      <c r="E121" s="121"/>
    </row>
    <row r="122" spans="1:9" s="3" customFormat="1" ht="23.25" x14ac:dyDescent="0.2">
      <c r="A122" s="185"/>
      <c r="B122" s="186"/>
      <c r="C122" s="186"/>
      <c r="D122" s="186"/>
    </row>
    <row r="123" spans="1:9" s="3" customFormat="1" x14ac:dyDescent="0.2">
      <c r="A123" s="187" t="s">
        <v>38</v>
      </c>
      <c r="B123" s="188"/>
      <c r="C123" s="188"/>
      <c r="D123" s="188"/>
    </row>
    <row r="124" spans="1:9" s="3" customFormat="1" x14ac:dyDescent="0.2">
      <c r="A124" s="10"/>
      <c r="B124" s="10"/>
      <c r="C124" s="11"/>
      <c r="D124" s="21" t="s">
        <v>40</v>
      </c>
      <c r="H124" s="120"/>
    </row>
    <row r="125" spans="1:9" s="3" customFormat="1" x14ac:dyDescent="0.2">
      <c r="A125" s="32" t="s">
        <v>6</v>
      </c>
      <c r="B125" s="37" t="s">
        <v>39</v>
      </c>
      <c r="C125" s="45"/>
      <c r="D125" s="53">
        <f>D35</f>
        <v>1530.5454545454545</v>
      </c>
    </row>
    <row r="126" spans="1:9" s="3" customFormat="1" x14ac:dyDescent="0.2">
      <c r="A126" s="32" t="s">
        <v>8</v>
      </c>
      <c r="B126" s="37" t="s">
        <v>97</v>
      </c>
      <c r="C126" s="45"/>
      <c r="D126" s="53">
        <f>D69</f>
        <v>1235.6747636363637</v>
      </c>
      <c r="H126" s="120"/>
    </row>
    <row r="127" spans="1:9" s="3" customFormat="1" x14ac:dyDescent="0.2">
      <c r="A127" s="32" t="s">
        <v>10</v>
      </c>
      <c r="B127" s="37" t="s">
        <v>98</v>
      </c>
      <c r="C127" s="45"/>
      <c r="D127" s="53">
        <f>D79</f>
        <v>83.542088727272727</v>
      </c>
    </row>
    <row r="128" spans="1:9" s="3" customFormat="1" x14ac:dyDescent="0.2">
      <c r="A128" s="32" t="s">
        <v>12</v>
      </c>
      <c r="B128" s="37" t="s">
        <v>99</v>
      </c>
      <c r="C128" s="45"/>
      <c r="D128" s="53">
        <f>D91</f>
        <v>215.04163636363637</v>
      </c>
    </row>
    <row r="129" spans="1:9" s="3" customFormat="1" x14ac:dyDescent="0.2">
      <c r="A129" s="32" t="s">
        <v>13</v>
      </c>
      <c r="B129" s="37" t="s">
        <v>100</v>
      </c>
      <c r="C129" s="45"/>
      <c r="D129" s="53">
        <f>D109</f>
        <v>73.333333333333343</v>
      </c>
      <c r="E129" s="61"/>
      <c r="F129" s="120"/>
    </row>
    <row r="130" spans="1:9" x14ac:dyDescent="0.2">
      <c r="A130" s="18"/>
      <c r="B130" s="38" t="s">
        <v>101</v>
      </c>
      <c r="C130" s="46"/>
      <c r="D130" s="33">
        <f>SUM(D125:D129)</f>
        <v>3138.1372766060608</v>
      </c>
    </row>
    <row r="131" spans="1:9" s="2" customFormat="1" x14ac:dyDescent="0.2">
      <c r="A131" s="34" t="s">
        <v>13</v>
      </c>
      <c r="B131" s="39" t="s">
        <v>102</v>
      </c>
      <c r="C131" s="45"/>
      <c r="D131" s="53">
        <f>D120</f>
        <v>832.0152677032911</v>
      </c>
    </row>
    <row r="132" spans="1:9" s="4" customFormat="1" x14ac:dyDescent="0.2">
      <c r="A132" s="31"/>
      <c r="B132" s="38" t="s">
        <v>41</v>
      </c>
      <c r="C132" s="56"/>
      <c r="D132" s="35">
        <f>ROUND(D130+D131,2)</f>
        <v>3970.15</v>
      </c>
      <c r="E132" s="60">
        <f>D132/D125</f>
        <v>2.5939445236398195</v>
      </c>
    </row>
    <row r="133" spans="1:9" s="2" customFormat="1" ht="12.75" customHeight="1" x14ac:dyDescent="0.2">
      <c r="A133" s="9"/>
      <c r="B133" s="9"/>
      <c r="C133" s="9"/>
      <c r="D133" s="9"/>
    </row>
    <row r="134" spans="1:9" s="2" customFormat="1" ht="12.75" customHeight="1" x14ac:dyDescent="0.2">
      <c r="A134" s="1"/>
      <c r="B134" s="1"/>
      <c r="C134" s="1"/>
      <c r="D134" s="1"/>
    </row>
    <row r="135" spans="1:9" s="2" customFormat="1" ht="12.75" customHeight="1" x14ac:dyDescent="0.2">
      <c r="A135" s="1"/>
      <c r="B135" s="1"/>
      <c r="C135" s="1"/>
      <c r="D135" s="1"/>
    </row>
    <row r="136" spans="1:9" s="2" customFormat="1" ht="12.75" customHeight="1" x14ac:dyDescent="0.2">
      <c r="A136" s="1"/>
      <c r="B136" s="1"/>
      <c r="C136" s="1"/>
      <c r="D136" s="1"/>
      <c r="G136" s="49" t="s">
        <v>49</v>
      </c>
      <c r="H136" s="50">
        <f>D130+D114+D113</f>
        <v>3504.0566356074341</v>
      </c>
      <c r="I136" s="51" t="s">
        <v>52</v>
      </c>
    </row>
    <row r="137" spans="1:9" s="2" customFormat="1" ht="12.75" customHeight="1" x14ac:dyDescent="0.2">
      <c r="A137" s="1"/>
      <c r="B137" s="1"/>
      <c r="C137" s="1"/>
      <c r="D137" s="1"/>
      <c r="G137" s="49" t="s">
        <v>36</v>
      </c>
      <c r="H137" s="52">
        <f>SUM(C116:C119)</f>
        <v>0.1174</v>
      </c>
    </row>
    <row r="138" spans="1:9" s="2" customFormat="1" ht="12.75" customHeight="1" x14ac:dyDescent="0.2">
      <c r="A138" s="1"/>
      <c r="B138" s="1"/>
      <c r="C138" s="1"/>
      <c r="D138" s="120"/>
      <c r="G138" s="49" t="s">
        <v>30</v>
      </c>
      <c r="H138" s="50">
        <f>H136/(1-H137)</f>
        <v>3970.1525443093519</v>
      </c>
    </row>
    <row r="139" spans="1:9" s="2" customFormat="1" ht="12.75" customHeight="1" x14ac:dyDescent="0.2">
      <c r="A139" s="1"/>
      <c r="B139" s="1"/>
      <c r="C139" s="1"/>
      <c r="D139" s="1"/>
      <c r="G139" s="49" t="s">
        <v>51</v>
      </c>
      <c r="H139" s="50">
        <f>H138-H136</f>
        <v>466.09590870191778</v>
      </c>
    </row>
    <row r="140" spans="1:9" s="3" customFormat="1" ht="17.100000000000001" customHeight="1" x14ac:dyDescent="0.2">
      <c r="A140" s="1"/>
      <c r="B140" s="1"/>
      <c r="C140" s="1"/>
      <c r="D140" s="135"/>
    </row>
    <row r="141" spans="1:9" ht="12.75" customHeight="1" x14ac:dyDescent="0.2">
      <c r="A141" s="9"/>
      <c r="B141" s="9"/>
      <c r="C141" s="9"/>
      <c r="D141" s="9"/>
    </row>
    <row r="142" spans="1:9" ht="12.75" customHeight="1" x14ac:dyDescent="0.2">
      <c r="A142" s="9"/>
      <c r="B142" s="9"/>
      <c r="C142" s="9"/>
      <c r="D142" s="9"/>
    </row>
    <row r="143" spans="1:9" ht="12.75" customHeight="1" x14ac:dyDescent="0.2">
      <c r="A143" s="9"/>
      <c r="B143" s="9"/>
      <c r="C143" s="9"/>
      <c r="D143" s="9"/>
    </row>
    <row r="144" spans="1:9" x14ac:dyDescent="0.2">
      <c r="A144" s="9"/>
      <c r="B144" s="9"/>
      <c r="C144" s="9"/>
      <c r="D144" s="9"/>
    </row>
    <row r="145" spans="1:4" x14ac:dyDescent="0.2">
      <c r="A145" s="9"/>
      <c r="B145" s="9"/>
      <c r="C145" s="9"/>
      <c r="D145" s="9"/>
    </row>
    <row r="146" spans="1:4" x14ac:dyDescent="0.2">
      <c r="A146" s="9"/>
      <c r="B146" s="9"/>
      <c r="C146" s="9"/>
      <c r="D146" s="9"/>
    </row>
    <row r="147" spans="1:4" ht="12.75" customHeight="1" x14ac:dyDescent="0.2">
      <c r="A147" s="9"/>
      <c r="B147" s="9"/>
      <c r="C147" s="9"/>
      <c r="D147" s="9"/>
    </row>
    <row r="148" spans="1:4" x14ac:dyDescent="0.2">
      <c r="A148" s="9"/>
      <c r="B148" s="9"/>
      <c r="C148" s="9"/>
      <c r="D148" s="9"/>
    </row>
    <row r="151" spans="1:4" ht="13.5" customHeight="1" x14ac:dyDescent="0.2"/>
    <row r="153" spans="1:4" ht="16.5" customHeight="1" x14ac:dyDescent="0.2"/>
  </sheetData>
  <mergeCells count="53">
    <mergeCell ref="C12:D12"/>
    <mergeCell ref="A1:D1"/>
    <mergeCell ref="C2:D2"/>
    <mergeCell ref="C3:D3"/>
    <mergeCell ref="C4:D4"/>
    <mergeCell ref="A5:D5"/>
    <mergeCell ref="C6:D6"/>
    <mergeCell ref="C7:D7"/>
    <mergeCell ref="C8:D8"/>
    <mergeCell ref="C9:D9"/>
    <mergeCell ref="C10:D10"/>
    <mergeCell ref="C11:D11"/>
    <mergeCell ref="A26:D26"/>
    <mergeCell ref="C13:D13"/>
    <mergeCell ref="A15:D15"/>
    <mergeCell ref="C16:D16"/>
    <mergeCell ref="C17:D17"/>
    <mergeCell ref="C18:D18"/>
    <mergeCell ref="A20:D20"/>
    <mergeCell ref="C21:D21"/>
    <mergeCell ref="C22:D22"/>
    <mergeCell ref="C23:D23"/>
    <mergeCell ref="C24:D24"/>
    <mergeCell ref="A25:D25"/>
    <mergeCell ref="B68:C68"/>
    <mergeCell ref="A35:B35"/>
    <mergeCell ref="A37:D37"/>
    <mergeCell ref="A41:C41"/>
    <mergeCell ref="A42:D42"/>
    <mergeCell ref="A52:B52"/>
    <mergeCell ref="A53:D53"/>
    <mergeCell ref="B54:C54"/>
    <mergeCell ref="A63:C63"/>
    <mergeCell ref="A65:C65"/>
    <mergeCell ref="B66:C66"/>
    <mergeCell ref="B67:C67"/>
    <mergeCell ref="B102:D102"/>
    <mergeCell ref="A69:C69"/>
    <mergeCell ref="A71:D71"/>
    <mergeCell ref="A72:B72"/>
    <mergeCell ref="A81:D81"/>
    <mergeCell ref="B94:C94"/>
    <mergeCell ref="A96:C96"/>
    <mergeCell ref="B97:D97"/>
    <mergeCell ref="A98:C98"/>
    <mergeCell ref="B99:C99"/>
    <mergeCell ref="B100:C100"/>
    <mergeCell ref="A101:C101"/>
    <mergeCell ref="A103:D103"/>
    <mergeCell ref="A110:D110"/>
    <mergeCell ref="A111:D111"/>
    <mergeCell ref="A122:D122"/>
    <mergeCell ref="A123:D123"/>
  </mergeCells>
  <printOptions horizontalCentered="1"/>
  <pageMargins left="0.78740157480314965" right="0.59055118110236215" top="1.6141732283464567" bottom="0.59055118110236215" header="0.39370078740157483" footer="0.51181102362204722"/>
  <pageSetup paperSize="9" scale="58" firstPageNumber="0" fitToHeight="2" orientation="portrait" r:id="rId1"/>
  <headerFooter alignWithMargins="0"/>
  <rowBreaks count="1" manualBreakCount="1">
    <brk id="79" max="3" man="1"/>
  </rowBreaks>
  <colBreaks count="1" manualBreakCount="1">
    <brk id="4" max="13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B330D-0F60-45FE-8940-677EC1FEB189}">
  <dimension ref="A1:I153"/>
  <sheetViews>
    <sheetView showGridLines="0" view="pageBreakPreview" topLeftCell="A109" zoomScaleNormal="100" zoomScaleSheetLayoutView="100" workbookViewId="0">
      <selection activeCell="C113" sqref="C113"/>
    </sheetView>
  </sheetViews>
  <sheetFormatPr defaultColWidth="12" defaultRowHeight="12.75" x14ac:dyDescent="0.2"/>
  <cols>
    <col min="1" max="1" width="5.140625" style="1" customWidth="1"/>
    <col min="2" max="2" width="67.42578125" style="1" customWidth="1"/>
    <col min="3" max="3" width="13.28515625" style="1" customWidth="1"/>
    <col min="4" max="4" width="20" style="1" customWidth="1"/>
    <col min="5" max="5" width="15.85546875" style="1" bestFit="1" customWidth="1"/>
    <col min="6" max="6" width="11.42578125" style="1" bestFit="1" customWidth="1"/>
    <col min="7" max="7" width="11.140625" style="1" customWidth="1"/>
    <col min="8" max="8" width="14.28515625" style="1" bestFit="1" customWidth="1"/>
    <col min="9" max="251" width="11.5703125" style="1" customWidth="1"/>
    <col min="252" max="16384" width="12" style="1"/>
  </cols>
  <sheetData>
    <row r="1" spans="1:4" ht="12.75" customHeight="1" x14ac:dyDescent="0.2">
      <c r="A1" s="221" t="s">
        <v>1</v>
      </c>
      <c r="B1" s="221"/>
      <c r="C1" s="221"/>
      <c r="D1" s="221"/>
    </row>
    <row r="2" spans="1:4" x14ac:dyDescent="0.2">
      <c r="A2" s="5"/>
      <c r="B2" s="6" t="s">
        <v>60</v>
      </c>
      <c r="C2" s="220">
        <v>2023021564</v>
      </c>
      <c r="D2" s="220"/>
    </row>
    <row r="3" spans="1:4" x14ac:dyDescent="0.2">
      <c r="A3" s="5"/>
      <c r="B3" s="6" t="s">
        <v>164</v>
      </c>
      <c r="C3" s="220" t="s">
        <v>165</v>
      </c>
      <c r="D3" s="220"/>
    </row>
    <row r="4" spans="1:4" x14ac:dyDescent="0.2">
      <c r="A4" s="5"/>
      <c r="B4" s="6" t="s">
        <v>56</v>
      </c>
      <c r="C4" s="222">
        <v>45167</v>
      </c>
      <c r="D4" s="220"/>
    </row>
    <row r="5" spans="1:4" ht="12.75" customHeight="1" x14ac:dyDescent="0.2">
      <c r="A5" s="223" t="s">
        <v>2</v>
      </c>
      <c r="B5" s="223"/>
      <c r="C5" s="223"/>
      <c r="D5" s="223"/>
    </row>
    <row r="6" spans="1:4" ht="12.75" customHeight="1" x14ac:dyDescent="0.2">
      <c r="A6" s="5"/>
      <c r="B6" s="6" t="s">
        <v>57</v>
      </c>
      <c r="C6" s="219" t="s">
        <v>166</v>
      </c>
      <c r="D6" s="219"/>
    </row>
    <row r="7" spans="1:4" x14ac:dyDescent="0.2">
      <c r="A7" s="5"/>
      <c r="B7" s="6" t="s">
        <v>58</v>
      </c>
      <c r="C7" s="219" t="s">
        <v>167</v>
      </c>
      <c r="D7" s="219"/>
    </row>
    <row r="8" spans="1:4" x14ac:dyDescent="0.2">
      <c r="A8" s="5"/>
      <c r="B8" s="6" t="s">
        <v>59</v>
      </c>
      <c r="C8" s="216" t="s">
        <v>228</v>
      </c>
      <c r="D8" s="216"/>
    </row>
    <row r="9" spans="1:4" x14ac:dyDescent="0.2">
      <c r="A9" s="5"/>
      <c r="B9" s="6" t="s">
        <v>61</v>
      </c>
      <c r="C9" s="204" t="s">
        <v>168</v>
      </c>
      <c r="D9" s="204"/>
    </row>
    <row r="10" spans="1:4" x14ac:dyDescent="0.2">
      <c r="A10" s="5"/>
      <c r="B10" s="6" t="s">
        <v>42</v>
      </c>
      <c r="C10" s="220">
        <v>2023</v>
      </c>
      <c r="D10" s="220"/>
    </row>
    <row r="11" spans="1:4" ht="12.75" customHeight="1" x14ac:dyDescent="0.2">
      <c r="A11" s="5"/>
      <c r="B11" s="6" t="s">
        <v>48</v>
      </c>
      <c r="C11" s="204" t="s">
        <v>169</v>
      </c>
      <c r="D11" s="204"/>
    </row>
    <row r="12" spans="1:4" x14ac:dyDescent="0.2">
      <c r="A12" s="5"/>
      <c r="B12" s="6" t="s">
        <v>53</v>
      </c>
      <c r="C12" s="216" t="s">
        <v>170</v>
      </c>
      <c r="D12" s="216"/>
    </row>
    <row r="13" spans="1:4" x14ac:dyDescent="0.2">
      <c r="A13" s="7"/>
      <c r="B13" s="8" t="s">
        <v>55</v>
      </c>
      <c r="C13" s="217" t="s">
        <v>145</v>
      </c>
      <c r="D13" s="217"/>
    </row>
    <row r="14" spans="1:4" ht="12.75" customHeight="1" x14ac:dyDescent="0.2">
      <c r="A14" s="9"/>
      <c r="B14" s="9"/>
      <c r="C14" s="9"/>
      <c r="D14" s="9"/>
    </row>
    <row r="15" spans="1:4" ht="12.75" customHeight="1" x14ac:dyDescent="0.2">
      <c r="A15" s="213" t="s">
        <v>3</v>
      </c>
      <c r="B15" s="213"/>
      <c r="C15" s="213"/>
      <c r="D15" s="213"/>
    </row>
    <row r="16" spans="1:4" x14ac:dyDescent="0.2">
      <c r="A16" s="5"/>
      <c r="B16" s="6" t="s">
        <v>106</v>
      </c>
      <c r="C16" s="218" t="s">
        <v>139</v>
      </c>
      <c r="D16" s="218"/>
    </row>
    <row r="17" spans="1:7" x14ac:dyDescent="0.2">
      <c r="A17" s="5"/>
      <c r="B17" s="6" t="s">
        <v>147</v>
      </c>
      <c r="C17" s="204" t="s">
        <v>140</v>
      </c>
      <c r="D17" s="204"/>
    </row>
    <row r="18" spans="1:7" x14ac:dyDescent="0.2">
      <c r="A18" s="7"/>
      <c r="B18" s="8" t="s">
        <v>65</v>
      </c>
      <c r="C18" s="212"/>
      <c r="D18" s="212"/>
    </row>
    <row r="19" spans="1:7" x14ac:dyDescent="0.2">
      <c r="A19" s="9"/>
      <c r="B19" s="9"/>
      <c r="C19" s="9"/>
      <c r="D19" s="9"/>
    </row>
    <row r="20" spans="1:7" x14ac:dyDescent="0.2">
      <c r="A20" s="213" t="s">
        <v>43</v>
      </c>
      <c r="B20" s="213"/>
      <c r="C20" s="213"/>
      <c r="D20" s="213"/>
    </row>
    <row r="21" spans="1:7" x14ac:dyDescent="0.2">
      <c r="A21" s="47" t="s">
        <v>44</v>
      </c>
      <c r="B21" s="6" t="s">
        <v>103</v>
      </c>
      <c r="C21" s="214" t="str">
        <f>C16</f>
        <v>limpeza e conservação</v>
      </c>
      <c r="D21" s="214"/>
    </row>
    <row r="22" spans="1:7" x14ac:dyDescent="0.2">
      <c r="A22" s="47" t="s">
        <v>45</v>
      </c>
      <c r="B22" s="6" t="s">
        <v>66</v>
      </c>
      <c r="C22" s="215">
        <v>1380</v>
      </c>
      <c r="D22" s="215"/>
    </row>
    <row r="23" spans="1:7" x14ac:dyDescent="0.2">
      <c r="A23" s="47" t="s">
        <v>46</v>
      </c>
      <c r="B23" s="6" t="s">
        <v>104</v>
      </c>
      <c r="C23" s="204"/>
      <c r="D23" s="204"/>
    </row>
    <row r="24" spans="1:7" x14ac:dyDescent="0.2">
      <c r="A24" s="48" t="s">
        <v>47</v>
      </c>
      <c r="B24" s="8" t="s">
        <v>54</v>
      </c>
      <c r="C24" s="205" t="s">
        <v>171</v>
      </c>
      <c r="D24" s="205"/>
    </row>
    <row r="25" spans="1:7" s="2" customFormat="1" ht="33" customHeight="1" x14ac:dyDescent="0.2">
      <c r="A25" s="206" t="s">
        <v>0</v>
      </c>
      <c r="B25" s="206"/>
      <c r="C25" s="206"/>
      <c r="D25" s="206"/>
    </row>
    <row r="26" spans="1:7" s="2" customFormat="1" x14ac:dyDescent="0.2">
      <c r="A26" s="194" t="s">
        <v>4</v>
      </c>
      <c r="B26" s="194"/>
      <c r="C26" s="194"/>
      <c r="D26" s="194"/>
    </row>
    <row r="27" spans="1:7" s="2" customFormat="1" x14ac:dyDescent="0.2">
      <c r="A27" s="15"/>
      <c r="B27" s="23"/>
      <c r="C27" s="40"/>
      <c r="D27" s="58">
        <f>C22</f>
        <v>1380</v>
      </c>
      <c r="F27" s="1"/>
      <c r="G27" s="1"/>
    </row>
    <row r="28" spans="1:7" s="2" customFormat="1" ht="12.75" customHeight="1" x14ac:dyDescent="0.2">
      <c r="A28" s="12" t="s">
        <v>6</v>
      </c>
      <c r="B28" s="16" t="s">
        <v>7</v>
      </c>
      <c r="C28" s="41"/>
      <c r="D28" s="14"/>
      <c r="F28" s="1"/>
      <c r="G28" s="1"/>
    </row>
    <row r="29" spans="1:7" s="2" customFormat="1" ht="12.75" customHeight="1" x14ac:dyDescent="0.2">
      <c r="A29" s="12" t="s">
        <v>8</v>
      </c>
      <c r="B29" s="16" t="s">
        <v>9</v>
      </c>
      <c r="C29" s="41"/>
      <c r="D29" s="14"/>
      <c r="F29" s="1"/>
      <c r="G29" s="1"/>
    </row>
    <row r="30" spans="1:7" s="2" customFormat="1" ht="12.75" customHeight="1" x14ac:dyDescent="0.2">
      <c r="A30" s="12" t="s">
        <v>10</v>
      </c>
      <c r="B30" s="16" t="s">
        <v>11</v>
      </c>
      <c r="C30" s="41"/>
      <c r="D30" s="55">
        <f>D27*40%</f>
        <v>552</v>
      </c>
      <c r="F30" s="1"/>
      <c r="G30" s="1"/>
    </row>
    <row r="31" spans="1:7" s="2" customFormat="1" ht="12.75" customHeight="1" x14ac:dyDescent="0.2">
      <c r="A31" s="12" t="s">
        <v>12</v>
      </c>
      <c r="B31" s="16" t="s">
        <v>227</v>
      </c>
      <c r="C31" s="41"/>
      <c r="D31" s="14">
        <f>(C22/220)*20%*105/52.5*60</f>
        <v>150.54545454545459</v>
      </c>
      <c r="F31" s="1"/>
      <c r="G31" s="1"/>
    </row>
    <row r="32" spans="1:7" s="2" customFormat="1" ht="12.75" customHeight="1" x14ac:dyDescent="0.2">
      <c r="A32" s="12" t="s">
        <v>13</v>
      </c>
      <c r="B32" s="16" t="s">
        <v>67</v>
      </c>
      <c r="C32" s="41"/>
      <c r="D32" s="14"/>
      <c r="F32" s="1"/>
      <c r="G32" s="1"/>
    </row>
    <row r="33" spans="1:9" ht="12.75" customHeight="1" x14ac:dyDescent="0.2">
      <c r="A33" s="12" t="s">
        <v>14</v>
      </c>
      <c r="B33" s="16" t="s">
        <v>68</v>
      </c>
      <c r="C33" s="42"/>
      <c r="D33" s="14"/>
    </row>
    <row r="34" spans="1:9" ht="12.75" customHeight="1" x14ac:dyDescent="0.2">
      <c r="A34" s="12" t="s">
        <v>15</v>
      </c>
      <c r="B34" s="16" t="s">
        <v>17</v>
      </c>
      <c r="C34" s="42"/>
      <c r="D34" s="14"/>
    </row>
    <row r="35" spans="1:9" s="3" customFormat="1" ht="12.75" customHeight="1" x14ac:dyDescent="0.2">
      <c r="A35" s="200" t="s">
        <v>82</v>
      </c>
      <c r="B35" s="192"/>
      <c r="C35" s="43"/>
      <c r="D35" s="58">
        <f>SUM(D27:D34)</f>
        <v>2082.5454545454545</v>
      </c>
      <c r="F35" s="1"/>
      <c r="G35" s="135"/>
    </row>
    <row r="36" spans="1:9" ht="10.5" customHeight="1" x14ac:dyDescent="0.2">
      <c r="A36" s="9"/>
      <c r="B36" s="9"/>
      <c r="C36" s="9"/>
      <c r="D36" s="9"/>
    </row>
    <row r="37" spans="1:9" s="2" customFormat="1" ht="17.100000000000001" customHeight="1" x14ac:dyDescent="0.2">
      <c r="A37" s="194" t="s">
        <v>69</v>
      </c>
      <c r="B37" s="194"/>
      <c r="C37" s="194"/>
      <c r="D37" s="194"/>
    </row>
    <row r="38" spans="1:9" s="2" customFormat="1" x14ac:dyDescent="0.2">
      <c r="A38" s="24" t="s">
        <v>70</v>
      </c>
      <c r="B38" s="36" t="s">
        <v>71</v>
      </c>
      <c r="C38" s="40" t="s">
        <v>5</v>
      </c>
      <c r="D38" s="21" t="s">
        <v>40</v>
      </c>
    </row>
    <row r="39" spans="1:9" s="2" customFormat="1" ht="12.75" customHeight="1" x14ac:dyDescent="0.2">
      <c r="A39" s="12" t="s">
        <v>6</v>
      </c>
      <c r="B39" s="16" t="s">
        <v>29</v>
      </c>
      <c r="C39" s="13">
        <v>8.3299999999999999E-2</v>
      </c>
      <c r="D39" s="14">
        <f>C39*$D$35</f>
        <v>173.47603636363635</v>
      </c>
    </row>
    <row r="40" spans="1:9" s="2" customFormat="1" ht="12.75" customHeight="1" x14ac:dyDescent="0.2">
      <c r="A40" s="12" t="s">
        <v>8</v>
      </c>
      <c r="B40" s="16" t="s">
        <v>72</v>
      </c>
      <c r="C40" s="13">
        <v>0.1111</v>
      </c>
      <c r="D40" s="14">
        <f>C40*$D$35</f>
        <v>231.3708</v>
      </c>
    </row>
    <row r="41" spans="1:9" s="2" customFormat="1" ht="12.75" customHeight="1" x14ac:dyDescent="0.2">
      <c r="A41" s="207" t="s">
        <v>27</v>
      </c>
      <c r="B41" s="208"/>
      <c r="C41" s="209"/>
      <c r="D41" s="25">
        <f>SUM(D39:D40)</f>
        <v>404.84683636363638</v>
      </c>
    </row>
    <row r="42" spans="1:9" s="2" customFormat="1" ht="12.75" customHeight="1" x14ac:dyDescent="0.2">
      <c r="A42" s="207"/>
      <c r="B42" s="210"/>
      <c r="C42" s="210"/>
      <c r="D42" s="211"/>
      <c r="I42" s="134"/>
    </row>
    <row r="43" spans="1:9" s="2" customFormat="1" ht="12.75" customHeight="1" x14ac:dyDescent="0.2">
      <c r="A43" s="24" t="s">
        <v>73</v>
      </c>
      <c r="B43" s="36" t="s">
        <v>74</v>
      </c>
      <c r="C43" s="40" t="s">
        <v>5</v>
      </c>
      <c r="D43" s="21" t="s">
        <v>40</v>
      </c>
    </row>
    <row r="44" spans="1:9" s="2" customFormat="1" ht="12.75" customHeight="1" x14ac:dyDescent="0.2">
      <c r="A44" s="12" t="s">
        <v>6</v>
      </c>
      <c r="B44" s="16" t="s">
        <v>22</v>
      </c>
      <c r="C44" s="13">
        <v>0.2</v>
      </c>
      <c r="D44" s="14">
        <f>D35*C44</f>
        <v>416.5090909090909</v>
      </c>
    </row>
    <row r="45" spans="1:9" s="2" customFormat="1" ht="12.75" customHeight="1" x14ac:dyDescent="0.2">
      <c r="A45" s="12" t="s">
        <v>8</v>
      </c>
      <c r="B45" s="16" t="s">
        <v>24</v>
      </c>
      <c r="C45" s="13">
        <v>2.5000000000000001E-2</v>
      </c>
      <c r="D45" s="14">
        <f>D35*C45</f>
        <v>52.063636363636363</v>
      </c>
    </row>
    <row r="46" spans="1:9" s="2" customFormat="1" ht="12.75" customHeight="1" x14ac:dyDescent="0.2">
      <c r="A46" s="12" t="s">
        <v>10</v>
      </c>
      <c r="B46" s="16" t="s">
        <v>75</v>
      </c>
      <c r="C46" s="136">
        <v>0.03</v>
      </c>
      <c r="D46" s="14">
        <f>D35*C46</f>
        <v>62.476363636363629</v>
      </c>
    </row>
    <row r="47" spans="1:9" s="2" customFormat="1" ht="12.75" customHeight="1" x14ac:dyDescent="0.2">
      <c r="A47" s="12" t="s">
        <v>12</v>
      </c>
      <c r="B47" s="16" t="s">
        <v>76</v>
      </c>
      <c r="C47" s="13">
        <v>1.4999999999999999E-2</v>
      </c>
      <c r="D47" s="14">
        <f>D35*C47</f>
        <v>31.238181818181815</v>
      </c>
    </row>
    <row r="48" spans="1:9" ht="12.75" customHeight="1" x14ac:dyDescent="0.2">
      <c r="A48" s="12" t="s">
        <v>13</v>
      </c>
      <c r="B48" s="16" t="s">
        <v>77</v>
      </c>
      <c r="C48" s="13">
        <v>0.01</v>
      </c>
      <c r="D48" s="14">
        <f>D35*C48</f>
        <v>20.825454545454544</v>
      </c>
      <c r="I48" s="135"/>
    </row>
    <row r="49" spans="1:7" s="3" customFormat="1" ht="17.100000000000001" customHeight="1" x14ac:dyDescent="0.2">
      <c r="A49" s="12" t="s">
        <v>14</v>
      </c>
      <c r="B49" s="16" t="s">
        <v>26</v>
      </c>
      <c r="C49" s="13">
        <v>6.0000000000000001E-3</v>
      </c>
      <c r="D49" s="14">
        <f>D35*C49</f>
        <v>12.495272727272727</v>
      </c>
    </row>
    <row r="50" spans="1:7" ht="12.75" customHeight="1" x14ac:dyDescent="0.2">
      <c r="A50" s="12" t="s">
        <v>15</v>
      </c>
      <c r="B50" s="16" t="s">
        <v>23</v>
      </c>
      <c r="C50" s="13">
        <v>2E-3</v>
      </c>
      <c r="D50" s="14">
        <f>D35*C50</f>
        <v>4.1650909090909094</v>
      </c>
    </row>
    <row r="51" spans="1:7" s="2" customFormat="1" ht="12.75" customHeight="1" x14ac:dyDescent="0.2">
      <c r="A51" s="12" t="s">
        <v>16</v>
      </c>
      <c r="B51" s="16" t="s">
        <v>25</v>
      </c>
      <c r="C51" s="13">
        <v>0.08</v>
      </c>
      <c r="D51" s="14">
        <f>D35*C51</f>
        <v>166.60363636363635</v>
      </c>
    </row>
    <row r="52" spans="1:7" s="2" customFormat="1" x14ac:dyDescent="0.2">
      <c r="A52" s="200" t="s">
        <v>27</v>
      </c>
      <c r="B52" s="192"/>
      <c r="C52" s="43">
        <f>SUM(C44:C51)</f>
        <v>0.36800000000000005</v>
      </c>
      <c r="D52" s="19">
        <f>SUM(D44:D51)</f>
        <v>766.37672727272741</v>
      </c>
    </row>
    <row r="53" spans="1:7" s="2" customFormat="1" x14ac:dyDescent="0.2">
      <c r="A53" s="200"/>
      <c r="B53" s="192"/>
      <c r="C53" s="192"/>
      <c r="D53" s="193"/>
    </row>
    <row r="54" spans="1:7" s="2" customFormat="1" x14ac:dyDescent="0.2">
      <c r="A54" s="20" t="s">
        <v>78</v>
      </c>
      <c r="B54" s="198" t="s">
        <v>79</v>
      </c>
      <c r="C54" s="199"/>
      <c r="D54" s="28" t="s">
        <v>40</v>
      </c>
    </row>
    <row r="55" spans="1:7" s="2" customFormat="1" ht="12.75" customHeight="1" x14ac:dyDescent="0.2">
      <c r="A55" s="12" t="s">
        <v>6</v>
      </c>
      <c r="B55" s="16" t="s">
        <v>18</v>
      </c>
      <c r="C55" s="55">
        <v>0</v>
      </c>
      <c r="D55" s="14">
        <v>0</v>
      </c>
      <c r="E55" s="134">
        <f>C55*22*2</f>
        <v>0</v>
      </c>
      <c r="F55" s="2">
        <f>D35*6%</f>
        <v>124.95272727272726</v>
      </c>
      <c r="G55" s="2">
        <f>E55-F55</f>
        <v>-124.95272727272726</v>
      </c>
    </row>
    <row r="56" spans="1:7" s="2" customFormat="1" ht="12.75" customHeight="1" x14ac:dyDescent="0.2">
      <c r="A56" s="12" t="s">
        <v>8</v>
      </c>
      <c r="B56" s="16" t="s">
        <v>80</v>
      </c>
      <c r="C56" s="55">
        <v>18.2</v>
      </c>
      <c r="D56" s="14">
        <f>G56</f>
        <v>356.35599999999999</v>
      </c>
      <c r="E56" s="137">
        <f>C56*22</f>
        <v>400.4</v>
      </c>
      <c r="F56" s="137">
        <f>E56*11%</f>
        <v>44.043999999999997</v>
      </c>
      <c r="G56" s="134">
        <f>E56-F56</f>
        <v>356.35599999999999</v>
      </c>
    </row>
    <row r="57" spans="1:7" s="2" customFormat="1" ht="12.75" customHeight="1" x14ac:dyDescent="0.2">
      <c r="A57" s="12" t="s">
        <v>10</v>
      </c>
      <c r="B57" s="16" t="s">
        <v>155</v>
      </c>
      <c r="C57" s="54"/>
      <c r="D57" s="14">
        <v>0</v>
      </c>
    </row>
    <row r="58" spans="1:7" s="2" customFormat="1" ht="12.75" customHeight="1" x14ac:dyDescent="0.2">
      <c r="A58" s="12" t="s">
        <v>12</v>
      </c>
      <c r="B58" s="16" t="s">
        <v>144</v>
      </c>
      <c r="C58" s="54"/>
      <c r="D58" s="14">
        <v>0</v>
      </c>
    </row>
    <row r="59" spans="1:7" s="2" customFormat="1" ht="12.75" customHeight="1" x14ac:dyDescent="0.2">
      <c r="A59" s="12" t="s">
        <v>13</v>
      </c>
      <c r="B59" s="16" t="s">
        <v>156</v>
      </c>
      <c r="C59" s="41"/>
      <c r="D59" s="14">
        <v>0</v>
      </c>
      <c r="G59" s="130"/>
    </row>
    <row r="60" spans="1:7" s="2" customFormat="1" ht="12.75" customHeight="1" x14ac:dyDescent="0.2">
      <c r="A60" s="12" t="s">
        <v>14</v>
      </c>
      <c r="B60" s="16" t="s">
        <v>172</v>
      </c>
      <c r="C60" s="41"/>
      <c r="D60" s="14">
        <v>16</v>
      </c>
    </row>
    <row r="61" spans="1:7" s="2" customFormat="1" ht="12.75" customHeight="1" x14ac:dyDescent="0.2">
      <c r="A61" s="57" t="s">
        <v>15</v>
      </c>
      <c r="B61" s="66" t="s">
        <v>105</v>
      </c>
      <c r="C61" s="41"/>
      <c r="D61" s="122">
        <v>2.54</v>
      </c>
    </row>
    <row r="62" spans="1:7" s="2" customFormat="1" ht="12.75" customHeight="1" x14ac:dyDescent="0.2">
      <c r="A62" s="57"/>
      <c r="B62" s="62"/>
      <c r="C62" s="41"/>
      <c r="D62" s="14"/>
      <c r="E62" s="134"/>
    </row>
    <row r="63" spans="1:7" s="2" customFormat="1" ht="12.75" customHeight="1" x14ac:dyDescent="0.2">
      <c r="A63" s="200" t="s">
        <v>27</v>
      </c>
      <c r="B63" s="192"/>
      <c r="C63" s="193"/>
      <c r="D63" s="19">
        <f>SUM(D55:D62)</f>
        <v>374.89600000000002</v>
      </c>
      <c r="E63" s="134"/>
    </row>
    <row r="64" spans="1:7" ht="28.35" customHeight="1" x14ac:dyDescent="0.2">
      <c r="A64" s="9"/>
      <c r="B64" s="9"/>
      <c r="C64" s="9"/>
      <c r="D64" s="9"/>
      <c r="E64" s="135"/>
    </row>
    <row r="65" spans="1:7" x14ac:dyDescent="0.2">
      <c r="A65" s="198" t="s">
        <v>90</v>
      </c>
      <c r="B65" s="201"/>
      <c r="C65" s="199"/>
      <c r="D65" s="19"/>
    </row>
    <row r="66" spans="1:7" s="2" customFormat="1" ht="12.75" customHeight="1" x14ac:dyDescent="0.2">
      <c r="A66" s="27" t="s">
        <v>70</v>
      </c>
      <c r="B66" s="184" t="s">
        <v>81</v>
      </c>
      <c r="C66" s="184"/>
      <c r="D66" s="19">
        <f>D41</f>
        <v>404.84683636363638</v>
      </c>
    </row>
    <row r="67" spans="1:7" s="4" customFormat="1" x14ac:dyDescent="0.2">
      <c r="A67" s="27" t="s">
        <v>73</v>
      </c>
      <c r="B67" s="184" t="s">
        <v>74</v>
      </c>
      <c r="C67" s="184"/>
      <c r="D67" s="19">
        <f>D52</f>
        <v>766.37672727272741</v>
      </c>
      <c r="F67" s="2"/>
      <c r="G67" s="2"/>
    </row>
    <row r="68" spans="1:7" s="2" customFormat="1" ht="12.75" customHeight="1" x14ac:dyDescent="0.2">
      <c r="A68" s="27" t="s">
        <v>78</v>
      </c>
      <c r="B68" s="184" t="s">
        <v>79</v>
      </c>
      <c r="C68" s="184"/>
      <c r="D68" s="19">
        <f>D63</f>
        <v>374.89600000000002</v>
      </c>
    </row>
    <row r="69" spans="1:7" s="2" customFormat="1" ht="12.75" customHeight="1" x14ac:dyDescent="0.2">
      <c r="A69" s="189" t="s">
        <v>27</v>
      </c>
      <c r="B69" s="190"/>
      <c r="C69" s="191"/>
      <c r="D69" s="19">
        <f>SUM(D66:D68)</f>
        <v>1546.1195636363639</v>
      </c>
    </row>
    <row r="70" spans="1:7" s="2" customFormat="1" ht="12.75" customHeight="1" x14ac:dyDescent="0.2"/>
    <row r="71" spans="1:7" s="2" customFormat="1" ht="12.75" customHeight="1" x14ac:dyDescent="0.2">
      <c r="A71" s="194" t="s">
        <v>83</v>
      </c>
      <c r="B71" s="194"/>
      <c r="C71" s="194"/>
      <c r="D71" s="194"/>
    </row>
    <row r="72" spans="1:7" s="2" customFormat="1" ht="12.75" customHeight="1" x14ac:dyDescent="0.2">
      <c r="A72" s="202"/>
      <c r="B72" s="203"/>
      <c r="C72" s="40" t="s">
        <v>5</v>
      </c>
      <c r="D72" s="21" t="s">
        <v>40</v>
      </c>
    </row>
    <row r="73" spans="1:7" s="3" customFormat="1" ht="17.100000000000001" customHeight="1" x14ac:dyDescent="0.2">
      <c r="A73" s="12" t="s">
        <v>6</v>
      </c>
      <c r="B73" s="16" t="s">
        <v>32</v>
      </c>
      <c r="C73" s="13">
        <v>4.1999999999999997E-3</v>
      </c>
      <c r="D73" s="128">
        <f>D27*C73</f>
        <v>5.7959999999999994</v>
      </c>
      <c r="F73" s="2"/>
      <c r="G73" s="2"/>
    </row>
    <row r="74" spans="1:7" ht="15" customHeight="1" x14ac:dyDescent="0.2">
      <c r="A74" s="12" t="s">
        <v>8</v>
      </c>
      <c r="B74" s="16" t="s">
        <v>50</v>
      </c>
      <c r="C74" s="41"/>
      <c r="D74" s="128">
        <f>$C$51*D73</f>
        <v>0.46367999999999998</v>
      </c>
      <c r="F74" s="2"/>
      <c r="G74" s="2"/>
    </row>
    <row r="75" spans="1:7" s="4" customFormat="1" x14ac:dyDescent="0.2">
      <c r="A75" s="123" t="s">
        <v>10</v>
      </c>
      <c r="B75" s="16" t="s">
        <v>62</v>
      </c>
      <c r="C75" s="64">
        <v>4.3499999999999997E-2</v>
      </c>
      <c r="D75" s="129">
        <f>D35*C75</f>
        <v>90.590727272727264</v>
      </c>
      <c r="F75" s="2"/>
      <c r="G75" s="2"/>
    </row>
    <row r="76" spans="1:7" s="2" customFormat="1" ht="12.75" customHeight="1" x14ac:dyDescent="0.2">
      <c r="A76" s="12" t="s">
        <v>12</v>
      </c>
      <c r="B76" s="132" t="s">
        <v>33</v>
      </c>
      <c r="C76" s="136">
        <v>4.0000000000000002E-4</v>
      </c>
      <c r="D76" s="128">
        <f>D27*C76</f>
        <v>0.55200000000000005</v>
      </c>
    </row>
    <row r="77" spans="1:7" s="3" customFormat="1" x14ac:dyDescent="0.2">
      <c r="A77" s="12" t="s">
        <v>13</v>
      </c>
      <c r="B77" s="16" t="s">
        <v>63</v>
      </c>
      <c r="C77" s="41"/>
      <c r="D77" s="14">
        <f>$C$52*D76</f>
        <v>0.20313600000000004</v>
      </c>
      <c r="F77" s="2"/>
      <c r="G77" s="2"/>
    </row>
    <row r="78" spans="1:7" s="2" customFormat="1" ht="12.75" customHeight="1" x14ac:dyDescent="0.2">
      <c r="A78" s="123" t="s">
        <v>14</v>
      </c>
      <c r="B78" s="16" t="s">
        <v>64</v>
      </c>
      <c r="C78" s="64">
        <v>6.4999999999999997E-3</v>
      </c>
      <c r="D78" s="65">
        <f>D35*C78</f>
        <v>13.536545454545454</v>
      </c>
    </row>
    <row r="79" spans="1:7" s="3" customFormat="1" x14ac:dyDescent="0.2">
      <c r="A79" s="38" t="s">
        <v>27</v>
      </c>
      <c r="B79" s="124"/>
      <c r="C79" s="125">
        <f>SUM(C73:C78)</f>
        <v>5.4599999999999996E-2</v>
      </c>
      <c r="D79" s="19">
        <f>SUM(D73:D78)</f>
        <v>111.14208872727272</v>
      </c>
      <c r="F79" s="2"/>
      <c r="G79" s="2"/>
    </row>
    <row r="80" spans="1:7" ht="15" customHeight="1" x14ac:dyDescent="0.2">
      <c r="A80" s="9"/>
      <c r="B80" s="9"/>
      <c r="C80" s="9"/>
      <c r="D80" s="9"/>
      <c r="F80" s="2"/>
      <c r="G80" s="2"/>
    </row>
    <row r="81" spans="1:9" ht="15" customHeight="1" x14ac:dyDescent="0.2">
      <c r="A81" s="194" t="s">
        <v>84</v>
      </c>
      <c r="B81" s="194"/>
      <c r="C81" s="194"/>
      <c r="D81" s="194"/>
      <c r="F81" s="2"/>
      <c r="G81" s="2"/>
    </row>
    <row r="82" spans="1:9" s="4" customFormat="1" x14ac:dyDescent="0.2">
      <c r="A82" s="24" t="s">
        <v>21</v>
      </c>
      <c r="B82" s="36" t="s">
        <v>85</v>
      </c>
      <c r="C82" s="40" t="s">
        <v>5</v>
      </c>
      <c r="D82" s="21" t="s">
        <v>40</v>
      </c>
      <c r="F82" s="2"/>
      <c r="G82" s="2"/>
    </row>
    <row r="83" spans="1:9" s="2" customFormat="1" ht="12.75" customHeight="1" x14ac:dyDescent="0.2">
      <c r="A83" s="12" t="s">
        <v>6</v>
      </c>
      <c r="B83" s="16" t="s">
        <v>86</v>
      </c>
      <c r="C83" s="13">
        <v>8.3299999999999999E-2</v>
      </c>
      <c r="D83" s="14">
        <f t="shared" ref="D83:D88" si="0">C83*$D$35</f>
        <v>173.47603636363635</v>
      </c>
    </row>
    <row r="84" spans="1:9" s="2" customFormat="1" ht="12.75" customHeight="1" x14ac:dyDescent="0.2">
      <c r="A84" s="12" t="s">
        <v>8</v>
      </c>
      <c r="B84" s="16" t="s">
        <v>85</v>
      </c>
      <c r="C84" s="13">
        <v>2.2200000000000001E-2</v>
      </c>
      <c r="D84" s="14">
        <f t="shared" si="0"/>
        <v>46.23250909090909</v>
      </c>
    </row>
    <row r="85" spans="1:9" s="3" customFormat="1" x14ac:dyDescent="0.2">
      <c r="A85" s="12" t="s">
        <v>10</v>
      </c>
      <c r="B85" s="16" t="s">
        <v>87</v>
      </c>
      <c r="C85" s="13">
        <v>1.4999999999999999E-2</v>
      </c>
      <c r="D85" s="14">
        <f t="shared" si="0"/>
        <v>31.238181818181815</v>
      </c>
      <c r="F85" s="2"/>
      <c r="G85" s="2"/>
    </row>
    <row r="86" spans="1:9" x14ac:dyDescent="0.2">
      <c r="A86" s="12" t="s">
        <v>12</v>
      </c>
      <c r="B86" s="16" t="s">
        <v>34</v>
      </c>
      <c r="C86" s="13">
        <v>0.01</v>
      </c>
      <c r="D86" s="14">
        <f t="shared" si="0"/>
        <v>20.825454545454544</v>
      </c>
      <c r="F86" s="2"/>
      <c r="G86" s="2"/>
    </row>
    <row r="87" spans="1:9" s="4" customFormat="1" x14ac:dyDescent="0.2">
      <c r="A87" s="12" t="s">
        <v>13</v>
      </c>
      <c r="B87" s="16" t="s">
        <v>31</v>
      </c>
      <c r="C87" s="13">
        <v>0.01</v>
      </c>
      <c r="D87" s="14">
        <f t="shared" si="0"/>
        <v>20.825454545454544</v>
      </c>
      <c r="F87" s="2"/>
      <c r="G87" s="2"/>
    </row>
    <row r="88" spans="1:9" s="2" customFormat="1" ht="12.75" customHeight="1" x14ac:dyDescent="0.2">
      <c r="A88" s="12" t="s">
        <v>14</v>
      </c>
      <c r="B88" s="16" t="s">
        <v>17</v>
      </c>
      <c r="C88" s="13">
        <v>0</v>
      </c>
      <c r="D88" s="14">
        <f t="shared" si="0"/>
        <v>0</v>
      </c>
    </row>
    <row r="89" spans="1:9" s="2" customFormat="1" ht="12.75" customHeight="1" x14ac:dyDescent="0.2">
      <c r="A89" s="12"/>
      <c r="B89" s="62"/>
      <c r="C89" s="126">
        <f>SUM(C83:C88)</f>
        <v>0.14050000000000001</v>
      </c>
      <c r="D89" s="14">
        <f>SUM(D83:D88)</f>
        <v>292.59763636363635</v>
      </c>
    </row>
    <row r="90" spans="1:9" s="2" customFormat="1" ht="12.75" customHeight="1" x14ac:dyDescent="0.2">
      <c r="A90" s="18"/>
      <c r="B90" s="138" t="s">
        <v>27</v>
      </c>
      <c r="C90" s="43">
        <f>C39+C40+C52+C79+C89</f>
        <v>0.75750000000000006</v>
      </c>
      <c r="D90" s="19">
        <f>D89</f>
        <v>292.59763636363635</v>
      </c>
    </row>
    <row r="91" spans="1:9" s="2" customFormat="1" ht="12.75" customHeight="1" x14ac:dyDescent="0.2">
      <c r="A91" s="139"/>
      <c r="D91" s="19">
        <f>SUM(D90:D90)</f>
        <v>292.59763636363635</v>
      </c>
    </row>
    <row r="92" spans="1:9" s="2" customFormat="1" ht="12.75" customHeight="1" x14ac:dyDescent="0.2">
      <c r="A92" s="18"/>
      <c r="B92" s="138" t="s">
        <v>27</v>
      </c>
      <c r="C92" s="43">
        <f>C90</f>
        <v>0.75750000000000006</v>
      </c>
      <c r="D92" s="26">
        <f>C90*D27</f>
        <v>1045.3500000000001</v>
      </c>
      <c r="E92" s="127"/>
      <c r="F92" s="3"/>
      <c r="G92" s="3"/>
      <c r="H92" s="3"/>
      <c r="I92" s="3"/>
    </row>
    <row r="93" spans="1:9" s="2" customFormat="1" ht="12.75" customHeight="1" x14ac:dyDescent="0.2">
      <c r="A93" s="18"/>
      <c r="B93" s="138"/>
      <c r="C93" s="43"/>
      <c r="D93" s="19"/>
      <c r="E93" s="127"/>
      <c r="F93" s="3"/>
      <c r="G93" s="3"/>
      <c r="H93" s="3"/>
      <c r="I93" s="3"/>
    </row>
    <row r="94" spans="1:9" s="2" customFormat="1" ht="12.75" customHeight="1" x14ac:dyDescent="0.2">
      <c r="A94" s="20" t="s">
        <v>28</v>
      </c>
      <c r="B94" s="198" t="s">
        <v>88</v>
      </c>
      <c r="C94" s="199"/>
      <c r="D94" s="28" t="s">
        <v>40</v>
      </c>
      <c r="F94" s="3"/>
      <c r="G94" s="3"/>
      <c r="H94" s="3"/>
      <c r="I94" s="3"/>
    </row>
    <row r="95" spans="1:9" s="2" customFormat="1" ht="12.75" customHeight="1" x14ac:dyDescent="0.2">
      <c r="A95" s="12" t="s">
        <v>6</v>
      </c>
      <c r="B95" s="16" t="s">
        <v>89</v>
      </c>
      <c r="C95" s="54"/>
      <c r="D95" s="14">
        <v>0</v>
      </c>
      <c r="F95" s="3"/>
      <c r="G95" s="3"/>
      <c r="H95" s="3"/>
      <c r="I95" s="3"/>
    </row>
    <row r="96" spans="1:9" s="2" customFormat="1" ht="12.75" customHeight="1" x14ac:dyDescent="0.2">
      <c r="A96" s="200" t="s">
        <v>27</v>
      </c>
      <c r="B96" s="192"/>
      <c r="C96" s="193"/>
      <c r="D96" s="19">
        <f>D95</f>
        <v>0</v>
      </c>
      <c r="F96" s="3"/>
      <c r="G96" s="3"/>
      <c r="H96" s="3"/>
      <c r="I96" s="3"/>
    </row>
    <row r="97" spans="1:9" s="2" customFormat="1" ht="12.75" customHeight="1" x14ac:dyDescent="0.2">
      <c r="A97" s="20"/>
      <c r="B97" s="192"/>
      <c r="C97" s="192"/>
      <c r="D97" s="193"/>
      <c r="F97" s="3"/>
      <c r="G97" s="3"/>
      <c r="H97" s="3"/>
      <c r="I97" s="3"/>
    </row>
    <row r="98" spans="1:9" s="2" customFormat="1" ht="12.75" customHeight="1" x14ac:dyDescent="0.2">
      <c r="A98" s="198" t="s">
        <v>91</v>
      </c>
      <c r="B98" s="201"/>
      <c r="C98" s="199"/>
      <c r="D98" s="19"/>
      <c r="F98" s="3"/>
      <c r="G98" s="3"/>
      <c r="H98" s="3"/>
      <c r="I98" s="3"/>
    </row>
    <row r="99" spans="1:9" s="2" customFormat="1" ht="12.75" customHeight="1" x14ac:dyDescent="0.2">
      <c r="A99" s="27" t="s">
        <v>21</v>
      </c>
      <c r="B99" s="184" t="s">
        <v>85</v>
      </c>
      <c r="C99" s="184"/>
      <c r="D99" s="19">
        <f>D91</f>
        <v>292.59763636363635</v>
      </c>
      <c r="F99" s="3"/>
      <c r="G99" s="3"/>
      <c r="H99" s="3"/>
      <c r="I99" s="3"/>
    </row>
    <row r="100" spans="1:9" s="2" customFormat="1" ht="12.75" customHeight="1" x14ac:dyDescent="0.2">
      <c r="A100" s="27" t="s">
        <v>28</v>
      </c>
      <c r="B100" s="184" t="s">
        <v>88</v>
      </c>
      <c r="C100" s="184"/>
      <c r="D100" s="19">
        <f>D96</f>
        <v>0</v>
      </c>
      <c r="F100" s="3"/>
      <c r="G100" s="3"/>
      <c r="H100" s="3"/>
      <c r="I100" s="3"/>
    </row>
    <row r="101" spans="1:9" s="2" customFormat="1" ht="12.75" customHeight="1" x14ac:dyDescent="0.2">
      <c r="A101" s="189" t="s">
        <v>27</v>
      </c>
      <c r="B101" s="190"/>
      <c r="C101" s="191"/>
      <c r="D101" s="19">
        <f>SUM(D99:D100)</f>
        <v>292.59763636363635</v>
      </c>
      <c r="F101" s="3"/>
      <c r="G101" s="3"/>
      <c r="H101" s="3"/>
      <c r="I101" s="3"/>
    </row>
    <row r="102" spans="1:9" s="2" customFormat="1" ht="12.75" customHeight="1" x14ac:dyDescent="0.2">
      <c r="A102" s="20"/>
      <c r="B102" s="192"/>
      <c r="C102" s="192"/>
      <c r="D102" s="193"/>
      <c r="F102" s="3"/>
      <c r="G102" s="3"/>
      <c r="H102" s="3"/>
      <c r="I102" s="3"/>
    </row>
    <row r="103" spans="1:9" s="2" customFormat="1" ht="12.75" customHeight="1" x14ac:dyDescent="0.2">
      <c r="A103" s="194" t="s">
        <v>92</v>
      </c>
      <c r="B103" s="194"/>
      <c r="C103" s="194"/>
      <c r="D103" s="194"/>
      <c r="F103" s="3"/>
      <c r="G103" s="3"/>
      <c r="H103" s="3"/>
      <c r="I103" s="3"/>
    </row>
    <row r="104" spans="1:9" s="2" customFormat="1" ht="12.75" customHeight="1" x14ac:dyDescent="0.2">
      <c r="A104" s="22"/>
      <c r="B104" s="23"/>
      <c r="C104" s="40"/>
      <c r="D104" s="21" t="s">
        <v>40</v>
      </c>
      <c r="F104" s="3"/>
      <c r="G104" s="3"/>
      <c r="H104" s="3"/>
      <c r="I104" s="3"/>
    </row>
    <row r="105" spans="1:9" s="2" customFormat="1" ht="12.75" customHeight="1" x14ac:dyDescent="0.2">
      <c r="A105" s="12" t="s">
        <v>6</v>
      </c>
      <c r="B105" s="16" t="s">
        <v>19</v>
      </c>
      <c r="C105" s="41"/>
      <c r="D105" s="14">
        <f>Uniforme!E9</f>
        <v>43.333333333333336</v>
      </c>
      <c r="F105" s="3"/>
      <c r="G105" s="3"/>
      <c r="H105" s="3"/>
      <c r="I105" s="3"/>
    </row>
    <row r="106" spans="1:9" s="2" customFormat="1" ht="12.75" customHeight="1" x14ac:dyDescent="0.2">
      <c r="A106" s="12" t="s">
        <v>8</v>
      </c>
      <c r="B106" s="16" t="s">
        <v>20</v>
      </c>
      <c r="C106" s="41"/>
      <c r="D106" s="14">
        <v>0</v>
      </c>
      <c r="F106" s="3"/>
      <c r="G106" s="3"/>
      <c r="H106" s="3"/>
      <c r="I106" s="3"/>
    </row>
    <row r="107" spans="1:9" s="3" customFormat="1" x14ac:dyDescent="0.2">
      <c r="A107" s="12" t="s">
        <v>10</v>
      </c>
      <c r="B107" s="16" t="s">
        <v>173</v>
      </c>
      <c r="C107" s="41"/>
      <c r="D107" s="14">
        <v>30</v>
      </c>
    </row>
    <row r="108" spans="1:9" s="3" customFormat="1" x14ac:dyDescent="0.2">
      <c r="A108" s="12" t="s">
        <v>12</v>
      </c>
      <c r="B108" s="133" t="s">
        <v>143</v>
      </c>
      <c r="C108" s="41"/>
      <c r="D108" s="14">
        <v>0</v>
      </c>
    </row>
    <row r="109" spans="1:9" s="4" customFormat="1" x14ac:dyDescent="0.2">
      <c r="A109" s="12"/>
      <c r="B109" s="17" t="s">
        <v>27</v>
      </c>
      <c r="C109" s="28"/>
      <c r="D109" s="19">
        <f>D105+D106+D107+D108</f>
        <v>73.333333333333343</v>
      </c>
      <c r="F109" s="3"/>
      <c r="G109" s="3"/>
      <c r="H109" s="3"/>
      <c r="I109" s="3"/>
    </row>
    <row r="110" spans="1:9" s="4" customFormat="1" x14ac:dyDescent="0.2">
      <c r="A110" s="195"/>
      <c r="B110" s="196"/>
      <c r="C110" s="196"/>
      <c r="D110" s="197"/>
      <c r="F110" s="3"/>
      <c r="G110" s="3"/>
      <c r="H110" s="3"/>
      <c r="I110" s="3"/>
    </row>
    <row r="111" spans="1:9" s="2" customFormat="1" ht="12.75" customHeight="1" x14ac:dyDescent="0.2">
      <c r="A111" s="187" t="s">
        <v>93</v>
      </c>
      <c r="B111" s="187"/>
      <c r="C111" s="187"/>
      <c r="D111" s="187"/>
      <c r="F111" s="3"/>
      <c r="G111" s="3"/>
      <c r="H111" s="3"/>
      <c r="I111" s="3"/>
    </row>
    <row r="112" spans="1:9" s="2" customFormat="1" ht="12.75" customHeight="1" x14ac:dyDescent="0.2">
      <c r="A112" s="29"/>
      <c r="B112" s="23"/>
      <c r="C112" s="21" t="s">
        <v>5</v>
      </c>
      <c r="D112" s="21" t="s">
        <v>40</v>
      </c>
      <c r="F112" s="3"/>
      <c r="G112" s="3"/>
      <c r="H112" s="3"/>
      <c r="I112" s="3"/>
    </row>
    <row r="113" spans="1:9" s="2" customFormat="1" ht="12.75" customHeight="1" x14ac:dyDescent="0.2">
      <c r="A113" s="12" t="s">
        <v>6</v>
      </c>
      <c r="B113" s="16" t="s">
        <v>35</v>
      </c>
      <c r="C113" s="13">
        <v>5.3400000000000003E-2</v>
      </c>
      <c r="D113" s="14">
        <f>D130*C113</f>
        <v>219.24641329076366</v>
      </c>
      <c r="E113" s="137">
        <f>Resumo!D115</f>
        <v>1004342.4501434504</v>
      </c>
      <c r="F113" s="3"/>
      <c r="G113" s="3"/>
      <c r="H113" s="3"/>
      <c r="I113" s="3"/>
    </row>
    <row r="114" spans="1:9" s="2" customFormat="1" ht="12.75" customHeight="1" x14ac:dyDescent="0.2">
      <c r="A114" s="12" t="s">
        <v>8</v>
      </c>
      <c r="B114" s="16" t="s">
        <v>37</v>
      </c>
      <c r="C114" s="13">
        <v>0.06</v>
      </c>
      <c r="D114" s="30">
        <f>(D130+D113)*C114</f>
        <v>259.49906939380941</v>
      </c>
      <c r="E114" s="137"/>
      <c r="F114" s="3"/>
      <c r="G114" s="3"/>
      <c r="H114" s="3"/>
      <c r="I114" s="3"/>
    </row>
    <row r="115" spans="1:9" s="2" customFormat="1" ht="12.75" customHeight="1" x14ac:dyDescent="0.2">
      <c r="A115" s="12" t="s">
        <v>10</v>
      </c>
      <c r="B115" s="16" t="s">
        <v>36</v>
      </c>
      <c r="C115" s="44"/>
      <c r="D115" s="30"/>
      <c r="F115" s="3"/>
      <c r="G115" s="3"/>
      <c r="H115" s="3"/>
      <c r="I115" s="3"/>
    </row>
    <row r="116" spans="1:9" s="2" customFormat="1" ht="12.75" customHeight="1" x14ac:dyDescent="0.2">
      <c r="A116" s="12"/>
      <c r="B116" s="16" t="s">
        <v>230</v>
      </c>
      <c r="C116" s="13">
        <v>6.7400000000000002E-2</v>
      </c>
      <c r="D116" s="14">
        <f>C116*$H$138</f>
        <v>350.09539077293078</v>
      </c>
      <c r="F116" s="3"/>
      <c r="G116" s="3"/>
      <c r="H116" s="3"/>
      <c r="I116" s="3"/>
    </row>
    <row r="117" spans="1:9" s="3" customFormat="1" x14ac:dyDescent="0.2">
      <c r="A117" s="12"/>
      <c r="B117" s="16" t="s">
        <v>94</v>
      </c>
      <c r="C117" s="13">
        <v>0</v>
      </c>
      <c r="D117" s="14">
        <f>C117*$H$138</f>
        <v>0</v>
      </c>
    </row>
    <row r="118" spans="1:9" s="2" customFormat="1" ht="12.75" customHeight="1" x14ac:dyDescent="0.2">
      <c r="A118" s="12"/>
      <c r="B118" s="16" t="s">
        <v>95</v>
      </c>
      <c r="C118" s="13">
        <v>0.05</v>
      </c>
      <c r="D118" s="14">
        <f>C118*$H$138</f>
        <v>259.71468158229288</v>
      </c>
      <c r="F118" s="3"/>
      <c r="G118" s="3"/>
      <c r="H118" s="3"/>
      <c r="I118" s="3"/>
    </row>
    <row r="119" spans="1:9" s="3" customFormat="1" x14ac:dyDescent="0.2">
      <c r="A119" s="12"/>
      <c r="B119" s="16" t="s">
        <v>96</v>
      </c>
      <c r="C119" s="13"/>
      <c r="D119" s="14">
        <f>C119*$H$138</f>
        <v>0</v>
      </c>
    </row>
    <row r="120" spans="1:9" s="3" customFormat="1" x14ac:dyDescent="0.2">
      <c r="A120" s="31"/>
      <c r="B120" s="20" t="s">
        <v>27</v>
      </c>
      <c r="C120" s="43">
        <f>SUM(C113:C119)</f>
        <v>0.23080000000000001</v>
      </c>
      <c r="D120" s="19">
        <f>SUM(D113:D119)</f>
        <v>1088.5555550397967</v>
      </c>
      <c r="H120" s="140"/>
    </row>
    <row r="121" spans="1:9" s="3" customFormat="1" ht="15" customHeight="1" x14ac:dyDescent="0.2">
      <c r="A121" s="9"/>
      <c r="B121" s="9"/>
      <c r="C121" s="9"/>
      <c r="D121" s="9"/>
      <c r="E121" s="121"/>
    </row>
    <row r="122" spans="1:9" s="3" customFormat="1" ht="23.25" x14ac:dyDescent="0.2">
      <c r="A122" s="185"/>
      <c r="B122" s="186"/>
      <c r="C122" s="186"/>
      <c r="D122" s="186"/>
    </row>
    <row r="123" spans="1:9" s="3" customFormat="1" x14ac:dyDescent="0.2">
      <c r="A123" s="187" t="s">
        <v>38</v>
      </c>
      <c r="B123" s="188"/>
      <c r="C123" s="188"/>
      <c r="D123" s="188"/>
    </row>
    <row r="124" spans="1:9" s="3" customFormat="1" x14ac:dyDescent="0.2">
      <c r="A124" s="10"/>
      <c r="B124" s="10"/>
      <c r="C124" s="11"/>
      <c r="D124" s="21" t="s">
        <v>40</v>
      </c>
      <c r="H124" s="120"/>
    </row>
    <row r="125" spans="1:9" s="3" customFormat="1" x14ac:dyDescent="0.2">
      <c r="A125" s="32" t="s">
        <v>6</v>
      </c>
      <c r="B125" s="37" t="s">
        <v>39</v>
      </c>
      <c r="C125" s="45"/>
      <c r="D125" s="53">
        <f>D35</f>
        <v>2082.5454545454545</v>
      </c>
    </row>
    <row r="126" spans="1:9" s="3" customFormat="1" x14ac:dyDescent="0.2">
      <c r="A126" s="32" t="s">
        <v>8</v>
      </c>
      <c r="B126" s="37" t="s">
        <v>97</v>
      </c>
      <c r="C126" s="45"/>
      <c r="D126" s="53">
        <f>D69</f>
        <v>1546.1195636363639</v>
      </c>
      <c r="H126" s="120"/>
    </row>
    <row r="127" spans="1:9" s="3" customFormat="1" x14ac:dyDescent="0.2">
      <c r="A127" s="32" t="s">
        <v>10</v>
      </c>
      <c r="B127" s="37" t="s">
        <v>98</v>
      </c>
      <c r="C127" s="45"/>
      <c r="D127" s="53">
        <f>D79</f>
        <v>111.14208872727272</v>
      </c>
    </row>
    <row r="128" spans="1:9" s="3" customFormat="1" x14ac:dyDescent="0.2">
      <c r="A128" s="32" t="s">
        <v>12</v>
      </c>
      <c r="B128" s="37" t="s">
        <v>99</v>
      </c>
      <c r="C128" s="45"/>
      <c r="D128" s="53">
        <f>D91</f>
        <v>292.59763636363635</v>
      </c>
    </row>
    <row r="129" spans="1:9" s="3" customFormat="1" x14ac:dyDescent="0.2">
      <c r="A129" s="32" t="s">
        <v>13</v>
      </c>
      <c r="B129" s="37" t="s">
        <v>100</v>
      </c>
      <c r="C129" s="45"/>
      <c r="D129" s="53">
        <f>D109</f>
        <v>73.333333333333343</v>
      </c>
      <c r="E129" s="61"/>
      <c r="F129" s="120"/>
    </row>
    <row r="130" spans="1:9" x14ac:dyDescent="0.2">
      <c r="A130" s="18"/>
      <c r="B130" s="38" t="s">
        <v>101</v>
      </c>
      <c r="C130" s="46"/>
      <c r="D130" s="33">
        <f>SUM(D125:D129)</f>
        <v>4105.7380766060605</v>
      </c>
    </row>
    <row r="131" spans="1:9" s="2" customFormat="1" x14ac:dyDescent="0.2">
      <c r="A131" s="34" t="s">
        <v>13</v>
      </c>
      <c r="B131" s="39" t="s">
        <v>102</v>
      </c>
      <c r="C131" s="45"/>
      <c r="D131" s="53">
        <f>D120</f>
        <v>1088.5555550397967</v>
      </c>
    </row>
    <row r="132" spans="1:9" s="4" customFormat="1" x14ac:dyDescent="0.2">
      <c r="A132" s="31"/>
      <c r="B132" s="38" t="s">
        <v>41</v>
      </c>
      <c r="C132" s="56"/>
      <c r="D132" s="35">
        <f>ROUND(D130+D131,2)</f>
        <v>5194.29</v>
      </c>
      <c r="E132" s="60">
        <f>D132/D125</f>
        <v>2.4942024620220011</v>
      </c>
    </row>
    <row r="133" spans="1:9" s="2" customFormat="1" ht="12.75" customHeight="1" x14ac:dyDescent="0.2">
      <c r="A133" s="9"/>
      <c r="B133" s="9"/>
      <c r="C133" s="9"/>
      <c r="D133" s="9"/>
    </row>
    <row r="134" spans="1:9" s="2" customFormat="1" ht="12.75" customHeight="1" x14ac:dyDescent="0.2">
      <c r="A134" s="1"/>
      <c r="B134" s="1"/>
      <c r="C134" s="1"/>
      <c r="D134" s="1"/>
    </row>
    <row r="135" spans="1:9" s="2" customFormat="1" ht="12.75" customHeight="1" x14ac:dyDescent="0.2">
      <c r="A135" s="1"/>
      <c r="B135" s="1"/>
      <c r="C135" s="1"/>
      <c r="D135" s="1"/>
    </row>
    <row r="136" spans="1:9" s="2" customFormat="1" ht="12.75" customHeight="1" x14ac:dyDescent="0.2">
      <c r="A136" s="1"/>
      <c r="B136" s="1"/>
      <c r="C136" s="1"/>
      <c r="D136" s="1"/>
      <c r="G136" s="49" t="s">
        <v>49</v>
      </c>
      <c r="H136" s="50">
        <f>D130+D114+D113</f>
        <v>4584.4835592906338</v>
      </c>
      <c r="I136" s="51" t="s">
        <v>52</v>
      </c>
    </row>
    <row r="137" spans="1:9" s="2" customFormat="1" ht="12.75" customHeight="1" x14ac:dyDescent="0.2">
      <c r="A137" s="1"/>
      <c r="B137" s="1"/>
      <c r="C137" s="1"/>
      <c r="D137" s="1"/>
      <c r="G137" s="49" t="s">
        <v>36</v>
      </c>
      <c r="H137" s="52">
        <f>SUM(C116:C119)</f>
        <v>0.1174</v>
      </c>
    </row>
    <row r="138" spans="1:9" s="2" customFormat="1" ht="12.75" customHeight="1" x14ac:dyDescent="0.2">
      <c r="A138" s="1"/>
      <c r="B138" s="1"/>
      <c r="C138" s="1"/>
      <c r="D138" s="120"/>
      <c r="G138" s="49" t="s">
        <v>30</v>
      </c>
      <c r="H138" s="50">
        <f>H136/(1-H137)</f>
        <v>5194.2936316458572</v>
      </c>
    </row>
    <row r="139" spans="1:9" s="2" customFormat="1" ht="12.75" customHeight="1" x14ac:dyDescent="0.2">
      <c r="A139" s="1"/>
      <c r="B139" s="1"/>
      <c r="C139" s="1"/>
      <c r="D139" s="1"/>
      <c r="G139" s="49" t="s">
        <v>51</v>
      </c>
      <c r="H139" s="50">
        <f>H138-H136</f>
        <v>609.81007235522338</v>
      </c>
    </row>
    <row r="140" spans="1:9" s="3" customFormat="1" ht="17.100000000000001" customHeight="1" x14ac:dyDescent="0.2">
      <c r="A140" s="1"/>
      <c r="B140" s="1"/>
      <c r="C140" s="1"/>
      <c r="D140" s="135"/>
    </row>
    <row r="141" spans="1:9" ht="12.75" customHeight="1" x14ac:dyDescent="0.2">
      <c r="A141" s="9"/>
      <c r="B141" s="9"/>
      <c r="C141" s="9"/>
      <c r="D141" s="9"/>
    </row>
    <row r="142" spans="1:9" ht="12.75" customHeight="1" x14ac:dyDescent="0.2">
      <c r="A142" s="9"/>
      <c r="B142" s="9"/>
      <c r="C142" s="9"/>
      <c r="D142" s="9"/>
    </row>
    <row r="143" spans="1:9" ht="12.75" customHeight="1" x14ac:dyDescent="0.2">
      <c r="A143" s="9"/>
      <c r="B143" s="9"/>
      <c r="C143" s="9"/>
      <c r="D143" s="9"/>
    </row>
    <row r="144" spans="1:9" x14ac:dyDescent="0.2">
      <c r="A144" s="9"/>
      <c r="B144" s="9"/>
      <c r="C144" s="9"/>
      <c r="D144" s="9"/>
    </row>
    <row r="145" spans="1:4" x14ac:dyDescent="0.2">
      <c r="A145" s="9"/>
      <c r="B145" s="9"/>
      <c r="C145" s="9"/>
      <c r="D145" s="9"/>
    </row>
    <row r="146" spans="1:4" x14ac:dyDescent="0.2">
      <c r="A146" s="9"/>
      <c r="B146" s="9"/>
      <c r="C146" s="9"/>
      <c r="D146" s="9"/>
    </row>
    <row r="147" spans="1:4" ht="12.75" customHeight="1" x14ac:dyDescent="0.2">
      <c r="A147" s="9"/>
      <c r="B147" s="9"/>
      <c r="C147" s="9"/>
      <c r="D147" s="9"/>
    </row>
    <row r="148" spans="1:4" x14ac:dyDescent="0.2">
      <c r="A148" s="9"/>
      <c r="B148" s="9"/>
      <c r="C148" s="9"/>
      <c r="D148" s="9"/>
    </row>
    <row r="151" spans="1:4" ht="13.5" customHeight="1" x14ac:dyDescent="0.2"/>
    <row r="153" spans="1:4" ht="16.5" customHeight="1" x14ac:dyDescent="0.2"/>
  </sheetData>
  <mergeCells count="53">
    <mergeCell ref="C12:D12"/>
    <mergeCell ref="A1:D1"/>
    <mergeCell ref="C2:D2"/>
    <mergeCell ref="C3:D3"/>
    <mergeCell ref="C4:D4"/>
    <mergeCell ref="A5:D5"/>
    <mergeCell ref="C6:D6"/>
    <mergeCell ref="C7:D7"/>
    <mergeCell ref="C8:D8"/>
    <mergeCell ref="C9:D9"/>
    <mergeCell ref="C10:D10"/>
    <mergeCell ref="C11:D11"/>
    <mergeCell ref="A26:D26"/>
    <mergeCell ref="C13:D13"/>
    <mergeCell ref="A15:D15"/>
    <mergeCell ref="C16:D16"/>
    <mergeCell ref="C17:D17"/>
    <mergeCell ref="C18:D18"/>
    <mergeCell ref="A20:D20"/>
    <mergeCell ref="C21:D21"/>
    <mergeCell ref="C22:D22"/>
    <mergeCell ref="C23:D23"/>
    <mergeCell ref="C24:D24"/>
    <mergeCell ref="A25:D25"/>
    <mergeCell ref="B68:C68"/>
    <mergeCell ref="A35:B35"/>
    <mergeCell ref="A37:D37"/>
    <mergeCell ref="A41:C41"/>
    <mergeCell ref="A42:D42"/>
    <mergeCell ref="A52:B52"/>
    <mergeCell ref="A53:D53"/>
    <mergeCell ref="B54:C54"/>
    <mergeCell ref="A63:C63"/>
    <mergeCell ref="A65:C65"/>
    <mergeCell ref="B66:C66"/>
    <mergeCell ref="B67:C67"/>
    <mergeCell ref="B102:D102"/>
    <mergeCell ref="A69:C69"/>
    <mergeCell ref="A71:D71"/>
    <mergeCell ref="A72:B72"/>
    <mergeCell ref="A81:D81"/>
    <mergeCell ref="B94:C94"/>
    <mergeCell ref="A96:C96"/>
    <mergeCell ref="B97:D97"/>
    <mergeCell ref="A98:C98"/>
    <mergeCell ref="B99:C99"/>
    <mergeCell ref="B100:C100"/>
    <mergeCell ref="A101:C101"/>
    <mergeCell ref="A103:D103"/>
    <mergeCell ref="A110:D110"/>
    <mergeCell ref="A111:D111"/>
    <mergeCell ref="A122:D122"/>
    <mergeCell ref="A123:D123"/>
  </mergeCells>
  <printOptions horizontalCentered="1"/>
  <pageMargins left="0.78740157480314965" right="0.59055118110236215" top="1.6141732283464567" bottom="0.59055118110236215" header="0.39370078740157483" footer="0.51181102362204722"/>
  <pageSetup paperSize="9" scale="58" firstPageNumber="0" fitToHeight="2" orientation="portrait" r:id="rId1"/>
  <headerFooter alignWithMargins="0"/>
  <rowBreaks count="1" manualBreakCount="1">
    <brk id="79" max="3" man="1"/>
  </rowBreaks>
  <colBreaks count="1" manualBreakCount="1">
    <brk id="4" max="132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B7F9A-7833-44B8-919B-2F874B1E1A26}">
  <dimension ref="A1:I153"/>
  <sheetViews>
    <sheetView showGridLines="0" view="pageBreakPreview" topLeftCell="A112" zoomScaleNormal="100" zoomScaleSheetLayoutView="100" workbookViewId="0">
      <selection activeCell="C113" sqref="C113"/>
    </sheetView>
  </sheetViews>
  <sheetFormatPr defaultColWidth="12" defaultRowHeight="12.75" x14ac:dyDescent="0.2"/>
  <cols>
    <col min="1" max="1" width="5.140625" style="1" customWidth="1"/>
    <col min="2" max="2" width="67.42578125" style="1" customWidth="1"/>
    <col min="3" max="3" width="13.28515625" style="1" customWidth="1"/>
    <col min="4" max="4" width="20" style="1" customWidth="1"/>
    <col min="5" max="5" width="15.85546875" style="1" bestFit="1" customWidth="1"/>
    <col min="6" max="6" width="11.42578125" style="1" bestFit="1" customWidth="1"/>
    <col min="7" max="7" width="11.140625" style="1" customWidth="1"/>
    <col min="8" max="8" width="14.28515625" style="1" bestFit="1" customWidth="1"/>
    <col min="9" max="251" width="11.5703125" style="1" customWidth="1"/>
    <col min="252" max="16384" width="12" style="1"/>
  </cols>
  <sheetData>
    <row r="1" spans="1:4" ht="12.75" customHeight="1" x14ac:dyDescent="0.2">
      <c r="A1" s="221" t="s">
        <v>1</v>
      </c>
      <c r="B1" s="221"/>
      <c r="C1" s="221"/>
      <c r="D1" s="221"/>
    </row>
    <row r="2" spans="1:4" x14ac:dyDescent="0.2">
      <c r="A2" s="5"/>
      <c r="B2" s="6" t="s">
        <v>60</v>
      </c>
      <c r="C2" s="220">
        <v>2023021564</v>
      </c>
      <c r="D2" s="220"/>
    </row>
    <row r="3" spans="1:4" x14ac:dyDescent="0.2">
      <c r="A3" s="5"/>
      <c r="B3" s="6" t="s">
        <v>164</v>
      </c>
      <c r="C3" s="220" t="s">
        <v>165</v>
      </c>
      <c r="D3" s="220"/>
    </row>
    <row r="4" spans="1:4" x14ac:dyDescent="0.2">
      <c r="A4" s="5"/>
      <c r="B4" s="6" t="s">
        <v>56</v>
      </c>
      <c r="C4" s="222">
        <v>45167</v>
      </c>
      <c r="D4" s="220"/>
    </row>
    <row r="5" spans="1:4" ht="12.75" customHeight="1" x14ac:dyDescent="0.2">
      <c r="A5" s="223" t="s">
        <v>2</v>
      </c>
      <c r="B5" s="223"/>
      <c r="C5" s="223"/>
      <c r="D5" s="223"/>
    </row>
    <row r="6" spans="1:4" ht="12.75" customHeight="1" x14ac:dyDescent="0.2">
      <c r="A6" s="5"/>
      <c r="B6" s="6" t="s">
        <v>57</v>
      </c>
      <c r="C6" s="219" t="s">
        <v>166</v>
      </c>
      <c r="D6" s="219"/>
    </row>
    <row r="7" spans="1:4" x14ac:dyDescent="0.2">
      <c r="A7" s="5"/>
      <c r="B7" s="6" t="s">
        <v>58</v>
      </c>
      <c r="C7" s="219" t="s">
        <v>167</v>
      </c>
      <c r="D7" s="219"/>
    </row>
    <row r="8" spans="1:4" x14ac:dyDescent="0.2">
      <c r="A8" s="5"/>
      <c r="B8" s="6" t="s">
        <v>59</v>
      </c>
      <c r="C8" s="216" t="s">
        <v>228</v>
      </c>
      <c r="D8" s="216"/>
    </row>
    <row r="9" spans="1:4" x14ac:dyDescent="0.2">
      <c r="A9" s="5"/>
      <c r="B9" s="6" t="s">
        <v>61</v>
      </c>
      <c r="C9" s="204" t="s">
        <v>168</v>
      </c>
      <c r="D9" s="204"/>
    </row>
    <row r="10" spans="1:4" x14ac:dyDescent="0.2">
      <c r="A10" s="5"/>
      <c r="B10" s="6" t="s">
        <v>42</v>
      </c>
      <c r="C10" s="220">
        <v>2023</v>
      </c>
      <c r="D10" s="220"/>
    </row>
    <row r="11" spans="1:4" ht="12.75" customHeight="1" x14ac:dyDescent="0.2">
      <c r="A11" s="5"/>
      <c r="B11" s="6" t="s">
        <v>48</v>
      </c>
      <c r="C11" s="204" t="s">
        <v>169</v>
      </c>
      <c r="D11" s="204"/>
    </row>
    <row r="12" spans="1:4" x14ac:dyDescent="0.2">
      <c r="A12" s="5"/>
      <c r="B12" s="6" t="s">
        <v>53</v>
      </c>
      <c r="C12" s="216" t="s">
        <v>170</v>
      </c>
      <c r="D12" s="216"/>
    </row>
    <row r="13" spans="1:4" x14ac:dyDescent="0.2">
      <c r="A13" s="7"/>
      <c r="B13" s="8" t="s">
        <v>55</v>
      </c>
      <c r="C13" s="217" t="s">
        <v>145</v>
      </c>
      <c r="D13" s="217"/>
    </row>
    <row r="14" spans="1:4" ht="12.75" customHeight="1" x14ac:dyDescent="0.2">
      <c r="A14" s="9"/>
      <c r="B14" s="9"/>
      <c r="C14" s="9"/>
      <c r="D14" s="9"/>
    </row>
    <row r="15" spans="1:4" ht="12.75" customHeight="1" x14ac:dyDescent="0.2">
      <c r="A15" s="213" t="s">
        <v>3</v>
      </c>
      <c r="B15" s="213"/>
      <c r="C15" s="213"/>
      <c r="D15" s="213"/>
    </row>
    <row r="16" spans="1:4" x14ac:dyDescent="0.2">
      <c r="A16" s="5"/>
      <c r="B16" s="6" t="s">
        <v>106</v>
      </c>
      <c r="C16" s="218" t="s">
        <v>139</v>
      </c>
      <c r="D16" s="218"/>
    </row>
    <row r="17" spans="1:7" x14ac:dyDescent="0.2">
      <c r="A17" s="5"/>
      <c r="B17" s="6" t="s">
        <v>147</v>
      </c>
      <c r="C17" s="204" t="s">
        <v>140</v>
      </c>
      <c r="D17" s="204"/>
    </row>
    <row r="18" spans="1:7" x14ac:dyDescent="0.2">
      <c r="A18" s="7"/>
      <c r="B18" s="8" t="s">
        <v>65</v>
      </c>
      <c r="C18" s="212"/>
      <c r="D18" s="212"/>
    </row>
    <row r="19" spans="1:7" x14ac:dyDescent="0.2">
      <c r="A19" s="9"/>
      <c r="B19" s="9"/>
      <c r="C19" s="9"/>
      <c r="D19" s="9"/>
    </row>
    <row r="20" spans="1:7" x14ac:dyDescent="0.2">
      <c r="A20" s="213" t="s">
        <v>43</v>
      </c>
      <c r="B20" s="213"/>
      <c r="C20" s="213"/>
      <c r="D20" s="213"/>
    </row>
    <row r="21" spans="1:7" x14ac:dyDescent="0.2">
      <c r="A21" s="47" t="s">
        <v>44</v>
      </c>
      <c r="B21" s="6" t="s">
        <v>103</v>
      </c>
      <c r="C21" s="214" t="str">
        <f>C16</f>
        <v>limpeza e conservação</v>
      </c>
      <c r="D21" s="214"/>
    </row>
    <row r="22" spans="1:7" x14ac:dyDescent="0.2">
      <c r="A22" s="47" t="s">
        <v>45</v>
      </c>
      <c r="B22" s="6" t="s">
        <v>66</v>
      </c>
      <c r="C22" s="215">
        <v>1380</v>
      </c>
      <c r="D22" s="215"/>
    </row>
    <row r="23" spans="1:7" x14ac:dyDescent="0.2">
      <c r="A23" s="47" t="s">
        <v>46</v>
      </c>
      <c r="B23" s="6" t="s">
        <v>104</v>
      </c>
      <c r="C23" s="204"/>
      <c r="D23" s="204"/>
    </row>
    <row r="24" spans="1:7" x14ac:dyDescent="0.2">
      <c r="A24" s="48" t="s">
        <v>47</v>
      </c>
      <c r="B24" s="8" t="s">
        <v>54</v>
      </c>
      <c r="C24" s="205" t="s">
        <v>171</v>
      </c>
      <c r="D24" s="205"/>
    </row>
    <row r="25" spans="1:7" s="2" customFormat="1" ht="33" customHeight="1" x14ac:dyDescent="0.2">
      <c r="A25" s="206" t="s">
        <v>0</v>
      </c>
      <c r="B25" s="206"/>
      <c r="C25" s="206"/>
      <c r="D25" s="206"/>
    </row>
    <row r="26" spans="1:7" s="2" customFormat="1" x14ac:dyDescent="0.2">
      <c r="A26" s="194" t="s">
        <v>4</v>
      </c>
      <c r="B26" s="194"/>
      <c r="C26" s="194"/>
      <c r="D26" s="194"/>
    </row>
    <row r="27" spans="1:7" s="2" customFormat="1" x14ac:dyDescent="0.2">
      <c r="A27" s="15"/>
      <c r="B27" s="23"/>
      <c r="C27" s="40"/>
      <c r="D27" s="58">
        <f>C22</f>
        <v>1380</v>
      </c>
      <c r="F27" s="1"/>
      <c r="G27" s="1"/>
    </row>
    <row r="28" spans="1:7" s="2" customFormat="1" ht="12.75" customHeight="1" x14ac:dyDescent="0.2">
      <c r="A28" s="12" t="s">
        <v>6</v>
      </c>
      <c r="B28" s="16" t="s">
        <v>7</v>
      </c>
      <c r="C28" s="41"/>
      <c r="D28" s="14"/>
      <c r="F28" s="1"/>
      <c r="G28" s="1"/>
    </row>
    <row r="29" spans="1:7" s="2" customFormat="1" ht="12.75" customHeight="1" x14ac:dyDescent="0.2">
      <c r="A29" s="12" t="s">
        <v>8</v>
      </c>
      <c r="B29" s="16" t="s">
        <v>9</v>
      </c>
      <c r="C29" s="41"/>
      <c r="D29" s="14"/>
      <c r="F29" s="1"/>
      <c r="G29" s="1"/>
    </row>
    <row r="30" spans="1:7" s="2" customFormat="1" ht="12.75" customHeight="1" x14ac:dyDescent="0.2">
      <c r="A30" s="12" t="s">
        <v>10</v>
      </c>
      <c r="B30" s="16" t="s">
        <v>11</v>
      </c>
      <c r="C30" s="41"/>
      <c r="D30" s="55">
        <v>0</v>
      </c>
      <c r="F30" s="1"/>
      <c r="G30" s="1"/>
    </row>
    <row r="31" spans="1:7" s="2" customFormat="1" ht="12.75" customHeight="1" x14ac:dyDescent="0.2">
      <c r="A31" s="12" t="s">
        <v>12</v>
      </c>
      <c r="B31" s="16" t="s">
        <v>227</v>
      </c>
      <c r="C31" s="41"/>
      <c r="D31" s="14">
        <f>(C22/220)*20%*105/52.5*60</f>
        <v>150.54545454545459</v>
      </c>
      <c r="F31" s="1"/>
      <c r="G31" s="1"/>
    </row>
    <row r="32" spans="1:7" s="2" customFormat="1" ht="12.75" customHeight="1" x14ac:dyDescent="0.2">
      <c r="A32" s="12" t="s">
        <v>13</v>
      </c>
      <c r="B32" s="16" t="s">
        <v>67</v>
      </c>
      <c r="C32" s="41"/>
      <c r="D32" s="14"/>
      <c r="F32" s="1"/>
      <c r="G32" s="1"/>
    </row>
    <row r="33" spans="1:9" ht="12.75" customHeight="1" x14ac:dyDescent="0.2">
      <c r="A33" s="12" t="s">
        <v>14</v>
      </c>
      <c r="B33" s="16" t="s">
        <v>68</v>
      </c>
      <c r="C33" s="42"/>
      <c r="D33" s="14"/>
    </row>
    <row r="34" spans="1:9" ht="12.75" customHeight="1" x14ac:dyDescent="0.2">
      <c r="A34" s="12" t="s">
        <v>15</v>
      </c>
      <c r="B34" s="16" t="s">
        <v>17</v>
      </c>
      <c r="C34" s="42"/>
      <c r="D34" s="14"/>
    </row>
    <row r="35" spans="1:9" s="3" customFormat="1" ht="12.75" customHeight="1" x14ac:dyDescent="0.2">
      <c r="A35" s="200" t="s">
        <v>82</v>
      </c>
      <c r="B35" s="192"/>
      <c r="C35" s="43"/>
      <c r="D35" s="58">
        <f>SUM(D27:D34)</f>
        <v>1530.5454545454545</v>
      </c>
      <c r="F35" s="1"/>
      <c r="G35" s="135"/>
    </row>
    <row r="36" spans="1:9" ht="10.5" customHeight="1" x14ac:dyDescent="0.2">
      <c r="A36" s="9"/>
      <c r="B36" s="9"/>
      <c r="C36" s="9"/>
      <c r="D36" s="9"/>
    </row>
    <row r="37" spans="1:9" s="2" customFormat="1" ht="17.100000000000001" customHeight="1" x14ac:dyDescent="0.2">
      <c r="A37" s="194" t="s">
        <v>69</v>
      </c>
      <c r="B37" s="194"/>
      <c r="C37" s="194"/>
      <c r="D37" s="194"/>
    </row>
    <row r="38" spans="1:9" s="2" customFormat="1" x14ac:dyDescent="0.2">
      <c r="A38" s="24" t="s">
        <v>70</v>
      </c>
      <c r="B38" s="36" t="s">
        <v>71</v>
      </c>
      <c r="C38" s="40" t="s">
        <v>5</v>
      </c>
      <c r="D38" s="21" t="s">
        <v>40</v>
      </c>
    </row>
    <row r="39" spans="1:9" s="2" customFormat="1" ht="12.75" customHeight="1" x14ac:dyDescent="0.2">
      <c r="A39" s="12" t="s">
        <v>6</v>
      </c>
      <c r="B39" s="16" t="s">
        <v>29</v>
      </c>
      <c r="C39" s="13">
        <v>8.3299999999999999E-2</v>
      </c>
      <c r="D39" s="14">
        <f>C39*$D$35</f>
        <v>127.49443636363635</v>
      </c>
    </row>
    <row r="40" spans="1:9" s="2" customFormat="1" ht="12.75" customHeight="1" x14ac:dyDescent="0.2">
      <c r="A40" s="12" t="s">
        <v>8</v>
      </c>
      <c r="B40" s="16" t="s">
        <v>72</v>
      </c>
      <c r="C40" s="13">
        <v>0.1111</v>
      </c>
      <c r="D40" s="14">
        <f>C40*$D$35</f>
        <v>170.0436</v>
      </c>
    </row>
    <row r="41" spans="1:9" s="2" customFormat="1" ht="12.75" customHeight="1" x14ac:dyDescent="0.2">
      <c r="A41" s="207" t="s">
        <v>27</v>
      </c>
      <c r="B41" s="208"/>
      <c r="C41" s="209"/>
      <c r="D41" s="25">
        <f>SUM(D39:D40)</f>
        <v>297.53803636363637</v>
      </c>
    </row>
    <row r="42" spans="1:9" s="2" customFormat="1" ht="12.75" customHeight="1" x14ac:dyDescent="0.2">
      <c r="A42" s="207"/>
      <c r="B42" s="210"/>
      <c r="C42" s="210"/>
      <c r="D42" s="211"/>
      <c r="I42" s="134"/>
    </row>
    <row r="43" spans="1:9" s="2" customFormat="1" ht="12.75" customHeight="1" x14ac:dyDescent="0.2">
      <c r="A43" s="24" t="s">
        <v>73</v>
      </c>
      <c r="B43" s="36" t="s">
        <v>74</v>
      </c>
      <c r="C43" s="40" t="s">
        <v>5</v>
      </c>
      <c r="D43" s="21" t="s">
        <v>40</v>
      </c>
    </row>
    <row r="44" spans="1:9" s="2" customFormat="1" ht="12.75" customHeight="1" x14ac:dyDescent="0.2">
      <c r="A44" s="12" t="s">
        <v>6</v>
      </c>
      <c r="B44" s="16" t="s">
        <v>22</v>
      </c>
      <c r="C44" s="13">
        <v>0.2</v>
      </c>
      <c r="D44" s="14">
        <f>D35*C44</f>
        <v>306.10909090909092</v>
      </c>
    </row>
    <row r="45" spans="1:9" s="2" customFormat="1" ht="12.75" customHeight="1" x14ac:dyDescent="0.2">
      <c r="A45" s="12" t="s">
        <v>8</v>
      </c>
      <c r="B45" s="16" t="s">
        <v>24</v>
      </c>
      <c r="C45" s="13">
        <v>2.5000000000000001E-2</v>
      </c>
      <c r="D45" s="14">
        <f>D35*C45</f>
        <v>38.263636363636365</v>
      </c>
    </row>
    <row r="46" spans="1:9" s="2" customFormat="1" ht="12.75" customHeight="1" x14ac:dyDescent="0.2">
      <c r="A46" s="12" t="s">
        <v>10</v>
      </c>
      <c r="B46" s="16" t="s">
        <v>75</v>
      </c>
      <c r="C46" s="136">
        <v>0.03</v>
      </c>
      <c r="D46" s="14">
        <f>D35*C46</f>
        <v>45.916363636363634</v>
      </c>
    </row>
    <row r="47" spans="1:9" s="2" customFormat="1" ht="12.75" customHeight="1" x14ac:dyDescent="0.2">
      <c r="A47" s="12" t="s">
        <v>12</v>
      </c>
      <c r="B47" s="16" t="s">
        <v>76</v>
      </c>
      <c r="C47" s="13">
        <v>1.4999999999999999E-2</v>
      </c>
      <c r="D47" s="14">
        <f>D35*C47</f>
        <v>22.958181818181817</v>
      </c>
    </row>
    <row r="48" spans="1:9" ht="12.75" customHeight="1" x14ac:dyDescent="0.2">
      <c r="A48" s="12" t="s">
        <v>13</v>
      </c>
      <c r="B48" s="16" t="s">
        <v>77</v>
      </c>
      <c r="C48" s="13">
        <v>0.01</v>
      </c>
      <c r="D48" s="14">
        <f>D35*C48</f>
        <v>15.305454545454545</v>
      </c>
      <c r="I48" s="135"/>
    </row>
    <row r="49" spans="1:7" s="3" customFormat="1" ht="17.100000000000001" customHeight="1" x14ac:dyDescent="0.2">
      <c r="A49" s="12" t="s">
        <v>14</v>
      </c>
      <c r="B49" s="16" t="s">
        <v>26</v>
      </c>
      <c r="C49" s="13">
        <v>6.0000000000000001E-3</v>
      </c>
      <c r="D49" s="14">
        <f>D35*C49</f>
        <v>9.1832727272727279</v>
      </c>
    </row>
    <row r="50" spans="1:7" ht="12.75" customHeight="1" x14ac:dyDescent="0.2">
      <c r="A50" s="12" t="s">
        <v>15</v>
      </c>
      <c r="B50" s="16" t="s">
        <v>23</v>
      </c>
      <c r="C50" s="13">
        <v>2E-3</v>
      </c>
      <c r="D50" s="14">
        <f>D35*C50</f>
        <v>3.0610909090909089</v>
      </c>
    </row>
    <row r="51" spans="1:7" s="2" customFormat="1" ht="12.75" customHeight="1" x14ac:dyDescent="0.2">
      <c r="A51" s="12" t="s">
        <v>16</v>
      </c>
      <c r="B51" s="16" t="s">
        <v>25</v>
      </c>
      <c r="C51" s="13">
        <v>0.08</v>
      </c>
      <c r="D51" s="14">
        <f>D35*C51</f>
        <v>122.44363636363636</v>
      </c>
    </row>
    <row r="52" spans="1:7" s="2" customFormat="1" x14ac:dyDescent="0.2">
      <c r="A52" s="200" t="s">
        <v>27</v>
      </c>
      <c r="B52" s="192"/>
      <c r="C52" s="43">
        <f>SUM(C44:C51)</f>
        <v>0.36800000000000005</v>
      </c>
      <c r="D52" s="19">
        <f>SUM(D44:D51)</f>
        <v>563.24072727272733</v>
      </c>
    </row>
    <row r="53" spans="1:7" s="2" customFormat="1" x14ac:dyDescent="0.2">
      <c r="A53" s="200"/>
      <c r="B53" s="192"/>
      <c r="C53" s="192"/>
      <c r="D53" s="193"/>
    </row>
    <row r="54" spans="1:7" s="2" customFormat="1" x14ac:dyDescent="0.2">
      <c r="A54" s="20" t="s">
        <v>78</v>
      </c>
      <c r="B54" s="198" t="s">
        <v>79</v>
      </c>
      <c r="C54" s="199"/>
      <c r="D54" s="28" t="s">
        <v>40</v>
      </c>
    </row>
    <row r="55" spans="1:7" s="2" customFormat="1" ht="12.75" customHeight="1" x14ac:dyDescent="0.2">
      <c r="A55" s="12" t="s">
        <v>6</v>
      </c>
      <c r="B55" s="16" t="s">
        <v>18</v>
      </c>
      <c r="C55" s="55">
        <v>0</v>
      </c>
      <c r="D55" s="14">
        <v>0</v>
      </c>
      <c r="E55" s="134">
        <f>C55*22*2</f>
        <v>0</v>
      </c>
      <c r="F55" s="2">
        <f>D35*6%</f>
        <v>91.832727272727269</v>
      </c>
      <c r="G55" s="2">
        <f>E55-F55</f>
        <v>-91.832727272727269</v>
      </c>
    </row>
    <row r="56" spans="1:7" s="2" customFormat="1" ht="12.75" customHeight="1" x14ac:dyDescent="0.2">
      <c r="A56" s="12" t="s">
        <v>8</v>
      </c>
      <c r="B56" s="16" t="s">
        <v>80</v>
      </c>
      <c r="C56" s="55">
        <v>18.2</v>
      </c>
      <c r="D56" s="14">
        <f>G56</f>
        <v>356.35599999999999</v>
      </c>
      <c r="E56" s="137">
        <f>C56*22</f>
        <v>400.4</v>
      </c>
      <c r="F56" s="137">
        <f>E56*11%</f>
        <v>44.043999999999997</v>
      </c>
      <c r="G56" s="134">
        <f>E56-F56</f>
        <v>356.35599999999999</v>
      </c>
    </row>
    <row r="57" spans="1:7" s="2" customFormat="1" ht="12.75" customHeight="1" x14ac:dyDescent="0.2">
      <c r="A57" s="12" t="s">
        <v>10</v>
      </c>
      <c r="B57" s="16" t="s">
        <v>155</v>
      </c>
      <c r="C57" s="54"/>
      <c r="D57" s="14">
        <v>0</v>
      </c>
    </row>
    <row r="58" spans="1:7" s="2" customFormat="1" ht="12.75" customHeight="1" x14ac:dyDescent="0.2">
      <c r="A58" s="12" t="s">
        <v>12</v>
      </c>
      <c r="B58" s="16" t="s">
        <v>144</v>
      </c>
      <c r="C58" s="54"/>
      <c r="D58" s="14">
        <v>0</v>
      </c>
    </row>
    <row r="59" spans="1:7" s="2" customFormat="1" ht="12.75" customHeight="1" x14ac:dyDescent="0.2">
      <c r="A59" s="12" t="s">
        <v>13</v>
      </c>
      <c r="B59" s="16" t="s">
        <v>156</v>
      </c>
      <c r="C59" s="41"/>
      <c r="D59" s="14">
        <v>0</v>
      </c>
      <c r="G59" s="130"/>
    </row>
    <row r="60" spans="1:7" s="2" customFormat="1" ht="12.75" customHeight="1" x14ac:dyDescent="0.2">
      <c r="A60" s="12" t="s">
        <v>14</v>
      </c>
      <c r="B60" s="16" t="s">
        <v>172</v>
      </c>
      <c r="C60" s="41"/>
      <c r="D60" s="14">
        <v>16</v>
      </c>
    </row>
    <row r="61" spans="1:7" s="2" customFormat="1" ht="12.75" customHeight="1" x14ac:dyDescent="0.2">
      <c r="A61" s="57" t="s">
        <v>15</v>
      </c>
      <c r="B61" s="66" t="s">
        <v>105</v>
      </c>
      <c r="C61" s="41"/>
      <c r="D61" s="122">
        <v>2.54</v>
      </c>
    </row>
    <row r="62" spans="1:7" s="2" customFormat="1" ht="12.75" customHeight="1" x14ac:dyDescent="0.2">
      <c r="A62" s="57"/>
      <c r="B62" s="62"/>
      <c r="C62" s="41"/>
      <c r="D62" s="14"/>
      <c r="E62" s="134"/>
    </row>
    <row r="63" spans="1:7" s="2" customFormat="1" ht="12.75" customHeight="1" x14ac:dyDescent="0.2">
      <c r="A63" s="200" t="s">
        <v>27</v>
      </c>
      <c r="B63" s="192"/>
      <c r="C63" s="193"/>
      <c r="D63" s="19">
        <f>SUM(D55:D62)</f>
        <v>374.89600000000002</v>
      </c>
      <c r="E63" s="134"/>
    </row>
    <row r="64" spans="1:7" ht="28.35" customHeight="1" x14ac:dyDescent="0.2">
      <c r="A64" s="9"/>
      <c r="B64" s="9"/>
      <c r="C64" s="9"/>
      <c r="D64" s="9"/>
      <c r="E64" s="135"/>
    </row>
    <row r="65" spans="1:7" x14ac:dyDescent="0.2">
      <c r="A65" s="198" t="s">
        <v>90</v>
      </c>
      <c r="B65" s="201"/>
      <c r="C65" s="199"/>
      <c r="D65" s="19"/>
    </row>
    <row r="66" spans="1:7" s="2" customFormat="1" ht="12.75" customHeight="1" x14ac:dyDescent="0.2">
      <c r="A66" s="27" t="s">
        <v>70</v>
      </c>
      <c r="B66" s="184" t="s">
        <v>81</v>
      </c>
      <c r="C66" s="184"/>
      <c r="D66" s="19">
        <f>D41</f>
        <v>297.53803636363637</v>
      </c>
    </row>
    <row r="67" spans="1:7" s="4" customFormat="1" x14ac:dyDescent="0.2">
      <c r="A67" s="27" t="s">
        <v>73</v>
      </c>
      <c r="B67" s="184" t="s">
        <v>74</v>
      </c>
      <c r="C67" s="184"/>
      <c r="D67" s="19">
        <f>D52</f>
        <v>563.24072727272733</v>
      </c>
      <c r="F67" s="2"/>
      <c r="G67" s="2"/>
    </row>
    <row r="68" spans="1:7" s="2" customFormat="1" ht="12.75" customHeight="1" x14ac:dyDescent="0.2">
      <c r="A68" s="27" t="s">
        <v>78</v>
      </c>
      <c r="B68" s="184" t="s">
        <v>79</v>
      </c>
      <c r="C68" s="184"/>
      <c r="D68" s="19">
        <f>D63</f>
        <v>374.89600000000002</v>
      </c>
    </row>
    <row r="69" spans="1:7" s="2" customFormat="1" ht="12.75" customHeight="1" x14ac:dyDescent="0.2">
      <c r="A69" s="189" t="s">
        <v>27</v>
      </c>
      <c r="B69" s="190"/>
      <c r="C69" s="191"/>
      <c r="D69" s="19">
        <f>SUM(D66:D68)</f>
        <v>1235.6747636363637</v>
      </c>
    </row>
    <row r="70" spans="1:7" s="2" customFormat="1" ht="12.75" customHeight="1" x14ac:dyDescent="0.2"/>
    <row r="71" spans="1:7" s="2" customFormat="1" ht="12.75" customHeight="1" x14ac:dyDescent="0.2">
      <c r="A71" s="194" t="s">
        <v>83</v>
      </c>
      <c r="B71" s="194"/>
      <c r="C71" s="194"/>
      <c r="D71" s="194"/>
    </row>
    <row r="72" spans="1:7" s="2" customFormat="1" ht="12.75" customHeight="1" x14ac:dyDescent="0.2">
      <c r="A72" s="202"/>
      <c r="B72" s="203"/>
      <c r="C72" s="40" t="s">
        <v>5</v>
      </c>
      <c r="D72" s="21" t="s">
        <v>40</v>
      </c>
    </row>
    <row r="73" spans="1:7" s="3" customFormat="1" ht="17.100000000000001" customHeight="1" x14ac:dyDescent="0.2">
      <c r="A73" s="12" t="s">
        <v>6</v>
      </c>
      <c r="B73" s="16" t="s">
        <v>32</v>
      </c>
      <c r="C73" s="13">
        <v>4.1999999999999997E-3</v>
      </c>
      <c r="D73" s="128">
        <f>D27*C73</f>
        <v>5.7959999999999994</v>
      </c>
      <c r="F73" s="2"/>
      <c r="G73" s="2"/>
    </row>
    <row r="74" spans="1:7" ht="15" customHeight="1" x14ac:dyDescent="0.2">
      <c r="A74" s="12" t="s">
        <v>8</v>
      </c>
      <c r="B74" s="16" t="s">
        <v>50</v>
      </c>
      <c r="C74" s="41"/>
      <c r="D74" s="128">
        <f>$C$51*D73</f>
        <v>0.46367999999999998</v>
      </c>
      <c r="F74" s="2"/>
      <c r="G74" s="2"/>
    </row>
    <row r="75" spans="1:7" s="4" customFormat="1" x14ac:dyDescent="0.2">
      <c r="A75" s="123" t="s">
        <v>10</v>
      </c>
      <c r="B75" s="16" t="s">
        <v>62</v>
      </c>
      <c r="C75" s="64">
        <v>4.3499999999999997E-2</v>
      </c>
      <c r="D75" s="129">
        <f>D35*C75</f>
        <v>66.578727272727264</v>
      </c>
      <c r="F75" s="2"/>
      <c r="G75" s="2"/>
    </row>
    <row r="76" spans="1:7" s="2" customFormat="1" ht="12.75" customHeight="1" x14ac:dyDescent="0.2">
      <c r="A76" s="12" t="s">
        <v>12</v>
      </c>
      <c r="B76" s="132" t="s">
        <v>33</v>
      </c>
      <c r="C76" s="136">
        <v>4.0000000000000002E-4</v>
      </c>
      <c r="D76" s="128">
        <f>D27*C76</f>
        <v>0.55200000000000005</v>
      </c>
    </row>
    <row r="77" spans="1:7" s="3" customFormat="1" x14ac:dyDescent="0.2">
      <c r="A77" s="12" t="s">
        <v>13</v>
      </c>
      <c r="B77" s="16" t="s">
        <v>63</v>
      </c>
      <c r="C77" s="41"/>
      <c r="D77" s="14">
        <f>$C$52*D76</f>
        <v>0.20313600000000004</v>
      </c>
      <c r="F77" s="2"/>
      <c r="G77" s="2"/>
    </row>
    <row r="78" spans="1:7" s="2" customFormat="1" ht="12.75" customHeight="1" x14ac:dyDescent="0.2">
      <c r="A78" s="123" t="s">
        <v>14</v>
      </c>
      <c r="B78" s="16" t="s">
        <v>64</v>
      </c>
      <c r="C78" s="64">
        <v>6.4999999999999997E-3</v>
      </c>
      <c r="D78" s="65">
        <f>D35*C78</f>
        <v>9.948545454545453</v>
      </c>
    </row>
    <row r="79" spans="1:7" s="3" customFormat="1" x14ac:dyDescent="0.2">
      <c r="A79" s="38" t="s">
        <v>27</v>
      </c>
      <c r="B79" s="124"/>
      <c r="C79" s="125">
        <f>SUM(C73:C78)</f>
        <v>5.4599999999999996E-2</v>
      </c>
      <c r="D79" s="19">
        <f>SUM(D73:D78)</f>
        <v>83.542088727272727</v>
      </c>
      <c r="F79" s="2"/>
      <c r="G79" s="2"/>
    </row>
    <row r="80" spans="1:7" ht="15" customHeight="1" x14ac:dyDescent="0.2">
      <c r="A80" s="9"/>
      <c r="B80" s="9"/>
      <c r="C80" s="9"/>
      <c r="D80" s="9"/>
      <c r="F80" s="2"/>
      <c r="G80" s="2"/>
    </row>
    <row r="81" spans="1:9" ht="15" customHeight="1" x14ac:dyDescent="0.2">
      <c r="A81" s="194" t="s">
        <v>84</v>
      </c>
      <c r="B81" s="194"/>
      <c r="C81" s="194"/>
      <c r="D81" s="194"/>
      <c r="F81" s="2"/>
      <c r="G81" s="2"/>
    </row>
    <row r="82" spans="1:9" s="4" customFormat="1" x14ac:dyDescent="0.2">
      <c r="A82" s="24" t="s">
        <v>21</v>
      </c>
      <c r="B82" s="36" t="s">
        <v>85</v>
      </c>
      <c r="C82" s="40" t="s">
        <v>5</v>
      </c>
      <c r="D82" s="21" t="s">
        <v>40</v>
      </c>
      <c r="F82" s="2"/>
      <c r="G82" s="2"/>
    </row>
    <row r="83" spans="1:9" s="2" customFormat="1" ht="12.75" customHeight="1" x14ac:dyDescent="0.2">
      <c r="A83" s="12" t="s">
        <v>6</v>
      </c>
      <c r="B83" s="16" t="s">
        <v>86</v>
      </c>
      <c r="C83" s="13">
        <v>8.3299999999999999E-2</v>
      </c>
      <c r="D83" s="14">
        <f t="shared" ref="D83:D88" si="0">C83*$D$35</f>
        <v>127.49443636363635</v>
      </c>
    </row>
    <row r="84" spans="1:9" s="2" customFormat="1" ht="12.75" customHeight="1" x14ac:dyDescent="0.2">
      <c r="A84" s="12" t="s">
        <v>8</v>
      </c>
      <c r="B84" s="16" t="s">
        <v>85</v>
      </c>
      <c r="C84" s="13">
        <v>2.2200000000000001E-2</v>
      </c>
      <c r="D84" s="14">
        <f t="shared" si="0"/>
        <v>33.978109090909093</v>
      </c>
    </row>
    <row r="85" spans="1:9" s="3" customFormat="1" x14ac:dyDescent="0.2">
      <c r="A85" s="12" t="s">
        <v>10</v>
      </c>
      <c r="B85" s="16" t="s">
        <v>87</v>
      </c>
      <c r="C85" s="13">
        <v>1.4999999999999999E-2</v>
      </c>
      <c r="D85" s="14">
        <f t="shared" si="0"/>
        <v>22.958181818181817</v>
      </c>
      <c r="F85" s="2"/>
      <c r="G85" s="2"/>
    </row>
    <row r="86" spans="1:9" x14ac:dyDescent="0.2">
      <c r="A86" s="12" t="s">
        <v>12</v>
      </c>
      <c r="B86" s="16" t="s">
        <v>34</v>
      </c>
      <c r="C86" s="13">
        <v>0.01</v>
      </c>
      <c r="D86" s="14">
        <f t="shared" si="0"/>
        <v>15.305454545454545</v>
      </c>
      <c r="F86" s="2"/>
      <c r="G86" s="2"/>
    </row>
    <row r="87" spans="1:9" s="4" customFormat="1" x14ac:dyDescent="0.2">
      <c r="A87" s="12" t="s">
        <v>13</v>
      </c>
      <c r="B87" s="16" t="s">
        <v>31</v>
      </c>
      <c r="C87" s="13">
        <v>0.01</v>
      </c>
      <c r="D87" s="14">
        <f t="shared" si="0"/>
        <v>15.305454545454545</v>
      </c>
      <c r="F87" s="2"/>
      <c r="G87" s="2"/>
    </row>
    <row r="88" spans="1:9" s="2" customFormat="1" ht="12.75" customHeight="1" x14ac:dyDescent="0.2">
      <c r="A88" s="12" t="s">
        <v>14</v>
      </c>
      <c r="B88" s="16" t="s">
        <v>17</v>
      </c>
      <c r="C88" s="13">
        <v>0</v>
      </c>
      <c r="D88" s="14">
        <f t="shared" si="0"/>
        <v>0</v>
      </c>
    </row>
    <row r="89" spans="1:9" s="2" customFormat="1" ht="12.75" customHeight="1" x14ac:dyDescent="0.2">
      <c r="A89" s="12"/>
      <c r="B89" s="62"/>
      <c r="C89" s="126">
        <f>SUM(C83:C88)</f>
        <v>0.14050000000000001</v>
      </c>
      <c r="D89" s="14">
        <f>SUM(D83:D88)</f>
        <v>215.04163636363637</v>
      </c>
    </row>
    <row r="90" spans="1:9" s="2" customFormat="1" ht="12.75" customHeight="1" x14ac:dyDescent="0.2">
      <c r="A90" s="18"/>
      <c r="B90" s="138" t="s">
        <v>27</v>
      </c>
      <c r="C90" s="43">
        <f>C39+C40+C52+C79+C89</f>
        <v>0.75750000000000006</v>
      </c>
      <c r="D90" s="19">
        <f>D89</f>
        <v>215.04163636363637</v>
      </c>
    </row>
    <row r="91" spans="1:9" s="2" customFormat="1" ht="12.75" customHeight="1" x14ac:dyDescent="0.2">
      <c r="A91" s="139"/>
      <c r="D91" s="19">
        <f>SUM(D90:D90)</f>
        <v>215.04163636363637</v>
      </c>
    </row>
    <row r="92" spans="1:9" s="2" customFormat="1" ht="12.75" customHeight="1" x14ac:dyDescent="0.2">
      <c r="A92" s="18"/>
      <c r="B92" s="138" t="s">
        <v>27</v>
      </c>
      <c r="C92" s="43">
        <f>C90</f>
        <v>0.75750000000000006</v>
      </c>
      <c r="D92" s="26">
        <f>C90*D27</f>
        <v>1045.3500000000001</v>
      </c>
      <c r="E92" s="127"/>
      <c r="F92" s="3"/>
      <c r="G92" s="3"/>
      <c r="H92" s="3"/>
      <c r="I92" s="3"/>
    </row>
    <row r="93" spans="1:9" s="2" customFormat="1" ht="12.75" customHeight="1" x14ac:dyDescent="0.2">
      <c r="A93" s="18"/>
      <c r="B93" s="138"/>
      <c r="C93" s="43"/>
      <c r="D93" s="19"/>
      <c r="E93" s="127"/>
      <c r="F93" s="3"/>
      <c r="G93" s="3"/>
      <c r="H93" s="3"/>
      <c r="I93" s="3"/>
    </row>
    <row r="94" spans="1:9" s="2" customFormat="1" ht="12.75" customHeight="1" x14ac:dyDescent="0.2">
      <c r="A94" s="20" t="s">
        <v>28</v>
      </c>
      <c r="B94" s="198" t="s">
        <v>88</v>
      </c>
      <c r="C94" s="199"/>
      <c r="D94" s="28" t="s">
        <v>40</v>
      </c>
      <c r="F94" s="3"/>
      <c r="G94" s="3"/>
      <c r="H94" s="3"/>
      <c r="I94" s="3"/>
    </row>
    <row r="95" spans="1:9" s="2" customFormat="1" ht="12.75" customHeight="1" x14ac:dyDescent="0.2">
      <c r="A95" s="12" t="s">
        <v>6</v>
      </c>
      <c r="B95" s="16" t="s">
        <v>89</v>
      </c>
      <c r="C95" s="54"/>
      <c r="D95" s="14">
        <v>0</v>
      </c>
      <c r="F95" s="3"/>
      <c r="G95" s="3"/>
      <c r="H95" s="3"/>
      <c r="I95" s="3"/>
    </row>
    <row r="96" spans="1:9" s="2" customFormat="1" ht="12.75" customHeight="1" x14ac:dyDescent="0.2">
      <c r="A96" s="200" t="s">
        <v>27</v>
      </c>
      <c r="B96" s="192"/>
      <c r="C96" s="193"/>
      <c r="D96" s="19">
        <f>D95</f>
        <v>0</v>
      </c>
      <c r="F96" s="3"/>
      <c r="G96" s="3"/>
      <c r="H96" s="3"/>
      <c r="I96" s="3"/>
    </row>
    <row r="97" spans="1:9" s="2" customFormat="1" ht="12.75" customHeight="1" x14ac:dyDescent="0.2">
      <c r="A97" s="20"/>
      <c r="B97" s="192"/>
      <c r="C97" s="192"/>
      <c r="D97" s="193"/>
      <c r="F97" s="3"/>
      <c r="G97" s="3"/>
      <c r="H97" s="3"/>
      <c r="I97" s="3"/>
    </row>
    <row r="98" spans="1:9" s="2" customFormat="1" ht="12.75" customHeight="1" x14ac:dyDescent="0.2">
      <c r="A98" s="198" t="s">
        <v>91</v>
      </c>
      <c r="B98" s="201"/>
      <c r="C98" s="199"/>
      <c r="D98" s="19"/>
      <c r="F98" s="3"/>
      <c r="G98" s="3"/>
      <c r="H98" s="3"/>
      <c r="I98" s="3"/>
    </row>
    <row r="99" spans="1:9" s="2" customFormat="1" ht="12.75" customHeight="1" x14ac:dyDescent="0.2">
      <c r="A99" s="27" t="s">
        <v>21</v>
      </c>
      <c r="B99" s="184" t="s">
        <v>85</v>
      </c>
      <c r="C99" s="184"/>
      <c r="D99" s="19">
        <f>D91</f>
        <v>215.04163636363637</v>
      </c>
      <c r="F99" s="3"/>
      <c r="G99" s="3"/>
      <c r="H99" s="3"/>
      <c r="I99" s="3"/>
    </row>
    <row r="100" spans="1:9" s="2" customFormat="1" ht="12.75" customHeight="1" x14ac:dyDescent="0.2">
      <c r="A100" s="27" t="s">
        <v>28</v>
      </c>
      <c r="B100" s="184" t="s">
        <v>88</v>
      </c>
      <c r="C100" s="184"/>
      <c r="D100" s="19">
        <f>D96</f>
        <v>0</v>
      </c>
      <c r="F100" s="3"/>
      <c r="G100" s="3"/>
      <c r="H100" s="3"/>
      <c r="I100" s="3"/>
    </row>
    <row r="101" spans="1:9" s="2" customFormat="1" ht="12.75" customHeight="1" x14ac:dyDescent="0.2">
      <c r="A101" s="189" t="s">
        <v>27</v>
      </c>
      <c r="B101" s="190"/>
      <c r="C101" s="191"/>
      <c r="D101" s="19">
        <f>SUM(D99:D100)</f>
        <v>215.04163636363637</v>
      </c>
      <c r="F101" s="3"/>
      <c r="G101" s="3"/>
      <c r="H101" s="3"/>
      <c r="I101" s="3"/>
    </row>
    <row r="102" spans="1:9" s="2" customFormat="1" ht="12.75" customHeight="1" x14ac:dyDescent="0.2">
      <c r="A102" s="20"/>
      <c r="B102" s="192"/>
      <c r="C102" s="192"/>
      <c r="D102" s="193"/>
      <c r="F102" s="3"/>
      <c r="G102" s="3"/>
      <c r="H102" s="3"/>
      <c r="I102" s="3"/>
    </row>
    <row r="103" spans="1:9" s="2" customFormat="1" ht="12.75" customHeight="1" x14ac:dyDescent="0.2">
      <c r="A103" s="194" t="s">
        <v>92</v>
      </c>
      <c r="B103" s="194"/>
      <c r="C103" s="194"/>
      <c r="D103" s="194"/>
      <c r="F103" s="3"/>
      <c r="G103" s="3"/>
      <c r="H103" s="3"/>
      <c r="I103" s="3"/>
    </row>
    <row r="104" spans="1:9" s="2" customFormat="1" ht="12.75" customHeight="1" x14ac:dyDescent="0.2">
      <c r="A104" s="22"/>
      <c r="B104" s="23"/>
      <c r="C104" s="40"/>
      <c r="D104" s="21" t="s">
        <v>40</v>
      </c>
      <c r="F104" s="3"/>
      <c r="G104" s="3"/>
      <c r="H104" s="3"/>
      <c r="I104" s="3"/>
    </row>
    <row r="105" spans="1:9" s="2" customFormat="1" ht="12.75" customHeight="1" x14ac:dyDescent="0.2">
      <c r="A105" s="12" t="s">
        <v>6</v>
      </c>
      <c r="B105" s="16" t="s">
        <v>19</v>
      </c>
      <c r="C105" s="41"/>
      <c r="D105" s="14">
        <f>Uniforme!E9</f>
        <v>43.333333333333336</v>
      </c>
      <c r="F105" s="3"/>
      <c r="G105" s="3"/>
      <c r="H105" s="3"/>
      <c r="I105" s="3"/>
    </row>
    <row r="106" spans="1:9" s="2" customFormat="1" ht="12.75" customHeight="1" x14ac:dyDescent="0.2">
      <c r="A106" s="12" t="s">
        <v>8</v>
      </c>
      <c r="B106" s="16" t="s">
        <v>20</v>
      </c>
      <c r="C106" s="41"/>
      <c r="D106" s="14">
        <v>0</v>
      </c>
      <c r="F106" s="3"/>
      <c r="G106" s="3"/>
      <c r="H106" s="3"/>
      <c r="I106" s="3"/>
    </row>
    <row r="107" spans="1:9" s="3" customFormat="1" x14ac:dyDescent="0.2">
      <c r="A107" s="12" t="s">
        <v>10</v>
      </c>
      <c r="B107" s="16" t="s">
        <v>173</v>
      </c>
      <c r="C107" s="41"/>
      <c r="D107" s="14">
        <v>30</v>
      </c>
    </row>
    <row r="108" spans="1:9" s="3" customFormat="1" x14ac:dyDescent="0.2">
      <c r="A108" s="12" t="s">
        <v>12</v>
      </c>
      <c r="B108" s="133" t="s">
        <v>143</v>
      </c>
      <c r="C108" s="41"/>
      <c r="D108" s="14">
        <v>0</v>
      </c>
    </row>
    <row r="109" spans="1:9" s="4" customFormat="1" x14ac:dyDescent="0.2">
      <c r="A109" s="12"/>
      <c r="B109" s="17" t="s">
        <v>27</v>
      </c>
      <c r="C109" s="28"/>
      <c r="D109" s="19">
        <f>D105+D106+D107+D108</f>
        <v>73.333333333333343</v>
      </c>
      <c r="F109" s="3"/>
      <c r="G109" s="3"/>
      <c r="H109" s="3"/>
      <c r="I109" s="3"/>
    </row>
    <row r="110" spans="1:9" s="4" customFormat="1" x14ac:dyDescent="0.2">
      <c r="A110" s="195"/>
      <c r="B110" s="196"/>
      <c r="C110" s="196"/>
      <c r="D110" s="197"/>
      <c r="F110" s="3"/>
      <c r="G110" s="3"/>
      <c r="H110" s="3"/>
      <c r="I110" s="3"/>
    </row>
    <row r="111" spans="1:9" s="2" customFormat="1" ht="12.75" customHeight="1" x14ac:dyDescent="0.2">
      <c r="A111" s="187" t="s">
        <v>93</v>
      </c>
      <c r="B111" s="187"/>
      <c r="C111" s="187"/>
      <c r="D111" s="187"/>
      <c r="F111" s="3"/>
      <c r="G111" s="3"/>
      <c r="H111" s="3"/>
      <c r="I111" s="3"/>
    </row>
    <row r="112" spans="1:9" s="2" customFormat="1" ht="12.75" customHeight="1" x14ac:dyDescent="0.2">
      <c r="A112" s="29"/>
      <c r="B112" s="23"/>
      <c r="C112" s="21" t="s">
        <v>5</v>
      </c>
      <c r="D112" s="21" t="s">
        <v>40</v>
      </c>
      <c r="F112" s="3"/>
      <c r="G112" s="3"/>
      <c r="H112" s="3"/>
      <c r="I112" s="3"/>
    </row>
    <row r="113" spans="1:9" s="2" customFormat="1" ht="12.75" customHeight="1" x14ac:dyDescent="0.2">
      <c r="A113" s="12" t="s">
        <v>6</v>
      </c>
      <c r="B113" s="16" t="s">
        <v>35</v>
      </c>
      <c r="C113" s="13">
        <v>5.3400000000000003E-2</v>
      </c>
      <c r="D113" s="14">
        <f>D130*C113</f>
        <v>167.57653057076365</v>
      </c>
      <c r="E113" s="137">
        <f>Resumo!D115</f>
        <v>1004342.4501434504</v>
      </c>
      <c r="F113" s="3"/>
      <c r="G113" s="3"/>
      <c r="H113" s="3"/>
      <c r="I113" s="3"/>
    </row>
    <row r="114" spans="1:9" s="2" customFormat="1" ht="12.75" customHeight="1" x14ac:dyDescent="0.2">
      <c r="A114" s="12" t="s">
        <v>8</v>
      </c>
      <c r="B114" s="16" t="s">
        <v>37</v>
      </c>
      <c r="C114" s="13">
        <v>0.06</v>
      </c>
      <c r="D114" s="30">
        <f>(D130+D113)*C114</f>
        <v>198.34282843060947</v>
      </c>
      <c r="E114" s="137"/>
      <c r="F114" s="3"/>
      <c r="G114" s="3"/>
      <c r="H114" s="3"/>
      <c r="I114" s="3"/>
    </row>
    <row r="115" spans="1:9" s="2" customFormat="1" ht="12.75" customHeight="1" x14ac:dyDescent="0.2">
      <c r="A115" s="12" t="s">
        <v>10</v>
      </c>
      <c r="B115" s="16" t="s">
        <v>36</v>
      </c>
      <c r="C115" s="44"/>
      <c r="D115" s="30"/>
      <c r="F115" s="3"/>
      <c r="G115" s="3"/>
      <c r="H115" s="3"/>
      <c r="I115" s="3"/>
    </row>
    <row r="116" spans="1:9" s="2" customFormat="1" ht="12.75" customHeight="1" x14ac:dyDescent="0.2">
      <c r="A116" s="12"/>
      <c r="B116" s="16" t="s">
        <v>230</v>
      </c>
      <c r="C116" s="13">
        <v>6.7400000000000002E-2</v>
      </c>
      <c r="D116" s="14">
        <f>C116*$H$138</f>
        <v>267.58828148645034</v>
      </c>
      <c r="F116" s="3"/>
      <c r="G116" s="3"/>
      <c r="H116" s="3"/>
      <c r="I116" s="3"/>
    </row>
    <row r="117" spans="1:9" s="3" customFormat="1" x14ac:dyDescent="0.2">
      <c r="A117" s="12"/>
      <c r="B117" s="16" t="s">
        <v>94</v>
      </c>
      <c r="C117" s="13">
        <v>0</v>
      </c>
      <c r="D117" s="14">
        <f>C117*$H$138</f>
        <v>0</v>
      </c>
    </row>
    <row r="118" spans="1:9" s="2" customFormat="1" ht="12.75" customHeight="1" x14ac:dyDescent="0.2">
      <c r="A118" s="12"/>
      <c r="B118" s="16" t="s">
        <v>95</v>
      </c>
      <c r="C118" s="13">
        <v>0.05</v>
      </c>
      <c r="D118" s="14">
        <f>C118*$H$138</f>
        <v>198.50762721546761</v>
      </c>
      <c r="F118" s="3"/>
      <c r="G118" s="3"/>
      <c r="H118" s="3"/>
      <c r="I118" s="3"/>
    </row>
    <row r="119" spans="1:9" s="3" customFormat="1" x14ac:dyDescent="0.2">
      <c r="A119" s="12"/>
      <c r="B119" s="16" t="s">
        <v>96</v>
      </c>
      <c r="C119" s="13"/>
      <c r="D119" s="14">
        <f>C119*$H$138</f>
        <v>0</v>
      </c>
    </row>
    <row r="120" spans="1:9" s="3" customFormat="1" x14ac:dyDescent="0.2">
      <c r="A120" s="31"/>
      <c r="B120" s="20" t="s">
        <v>27</v>
      </c>
      <c r="C120" s="43">
        <f>SUM(C113:C119)</f>
        <v>0.23080000000000001</v>
      </c>
      <c r="D120" s="19">
        <f>SUM(D113:D119)</f>
        <v>832.0152677032911</v>
      </c>
      <c r="H120" s="140"/>
    </row>
    <row r="121" spans="1:9" s="3" customFormat="1" ht="15" customHeight="1" x14ac:dyDescent="0.2">
      <c r="A121" s="9"/>
      <c r="B121" s="9"/>
      <c r="C121" s="9"/>
      <c r="D121" s="9"/>
      <c r="E121" s="121"/>
    </row>
    <row r="122" spans="1:9" s="3" customFormat="1" ht="23.25" x14ac:dyDescent="0.2">
      <c r="A122" s="185"/>
      <c r="B122" s="186"/>
      <c r="C122" s="186"/>
      <c r="D122" s="186"/>
    </row>
    <row r="123" spans="1:9" s="3" customFormat="1" x14ac:dyDescent="0.2">
      <c r="A123" s="187" t="s">
        <v>38</v>
      </c>
      <c r="B123" s="188"/>
      <c r="C123" s="188"/>
      <c r="D123" s="188"/>
    </row>
    <row r="124" spans="1:9" s="3" customFormat="1" x14ac:dyDescent="0.2">
      <c r="A124" s="10"/>
      <c r="B124" s="10"/>
      <c r="C124" s="11"/>
      <c r="D124" s="21" t="s">
        <v>40</v>
      </c>
      <c r="H124" s="120"/>
    </row>
    <row r="125" spans="1:9" s="3" customFormat="1" x14ac:dyDescent="0.2">
      <c r="A125" s="32" t="s">
        <v>6</v>
      </c>
      <c r="B125" s="37" t="s">
        <v>39</v>
      </c>
      <c r="C125" s="45"/>
      <c r="D125" s="53">
        <f>D35</f>
        <v>1530.5454545454545</v>
      </c>
    </row>
    <row r="126" spans="1:9" s="3" customFormat="1" x14ac:dyDescent="0.2">
      <c r="A126" s="32" t="s">
        <v>8</v>
      </c>
      <c r="B126" s="37" t="s">
        <v>97</v>
      </c>
      <c r="C126" s="45"/>
      <c r="D126" s="53">
        <f>D69</f>
        <v>1235.6747636363637</v>
      </c>
      <c r="H126" s="120"/>
    </row>
    <row r="127" spans="1:9" s="3" customFormat="1" x14ac:dyDescent="0.2">
      <c r="A127" s="32" t="s">
        <v>10</v>
      </c>
      <c r="B127" s="37" t="s">
        <v>98</v>
      </c>
      <c r="C127" s="45"/>
      <c r="D127" s="53">
        <f>D79</f>
        <v>83.542088727272727</v>
      </c>
    </row>
    <row r="128" spans="1:9" s="3" customFormat="1" x14ac:dyDescent="0.2">
      <c r="A128" s="32" t="s">
        <v>12</v>
      </c>
      <c r="B128" s="37" t="s">
        <v>99</v>
      </c>
      <c r="C128" s="45"/>
      <c r="D128" s="53">
        <f>D91</f>
        <v>215.04163636363637</v>
      </c>
    </row>
    <row r="129" spans="1:9" s="3" customFormat="1" x14ac:dyDescent="0.2">
      <c r="A129" s="32" t="s">
        <v>13</v>
      </c>
      <c r="B129" s="37" t="s">
        <v>100</v>
      </c>
      <c r="C129" s="45"/>
      <c r="D129" s="53">
        <f>D109</f>
        <v>73.333333333333343</v>
      </c>
      <c r="E129" s="61"/>
      <c r="F129" s="120"/>
    </row>
    <row r="130" spans="1:9" x14ac:dyDescent="0.2">
      <c r="A130" s="18"/>
      <c r="B130" s="38" t="s">
        <v>101</v>
      </c>
      <c r="C130" s="46"/>
      <c r="D130" s="33">
        <f>SUM(D125:D129)</f>
        <v>3138.1372766060608</v>
      </c>
    </row>
    <row r="131" spans="1:9" s="2" customFormat="1" x14ac:dyDescent="0.2">
      <c r="A131" s="34" t="s">
        <v>13</v>
      </c>
      <c r="B131" s="39" t="s">
        <v>102</v>
      </c>
      <c r="C131" s="45"/>
      <c r="D131" s="53">
        <f>D120</f>
        <v>832.0152677032911</v>
      </c>
    </row>
    <row r="132" spans="1:9" s="4" customFormat="1" x14ac:dyDescent="0.2">
      <c r="A132" s="31"/>
      <c r="B132" s="38" t="s">
        <v>41</v>
      </c>
      <c r="C132" s="56"/>
      <c r="D132" s="35">
        <f>ROUND(D130+D131,2)</f>
        <v>3970.15</v>
      </c>
      <c r="E132" s="60">
        <f>D132/D125</f>
        <v>2.5939445236398195</v>
      </c>
    </row>
    <row r="133" spans="1:9" s="2" customFormat="1" ht="12.75" customHeight="1" x14ac:dyDescent="0.2">
      <c r="A133" s="9"/>
      <c r="B133" s="9"/>
      <c r="C133" s="9"/>
      <c r="D133" s="9"/>
    </row>
    <row r="134" spans="1:9" s="2" customFormat="1" ht="12.75" customHeight="1" x14ac:dyDescent="0.2">
      <c r="A134" s="1"/>
      <c r="B134" s="1"/>
      <c r="C134" s="1"/>
      <c r="D134" s="1"/>
    </row>
    <row r="135" spans="1:9" s="2" customFormat="1" ht="12.75" customHeight="1" x14ac:dyDescent="0.2">
      <c r="A135" s="1"/>
      <c r="B135" s="1"/>
      <c r="C135" s="1"/>
      <c r="D135" s="1"/>
    </row>
    <row r="136" spans="1:9" s="2" customFormat="1" ht="12.75" customHeight="1" x14ac:dyDescent="0.2">
      <c r="A136" s="1"/>
      <c r="B136" s="1"/>
      <c r="C136" s="1"/>
      <c r="D136" s="1"/>
      <c r="G136" s="49" t="s">
        <v>49</v>
      </c>
      <c r="H136" s="50">
        <f>D130+D114+D113</f>
        <v>3504.0566356074341</v>
      </c>
      <c r="I136" s="51" t="s">
        <v>52</v>
      </c>
    </row>
    <row r="137" spans="1:9" s="2" customFormat="1" ht="12.75" customHeight="1" x14ac:dyDescent="0.2">
      <c r="A137" s="1"/>
      <c r="B137" s="1"/>
      <c r="C137" s="1"/>
      <c r="D137" s="1"/>
      <c r="G137" s="49" t="s">
        <v>36</v>
      </c>
      <c r="H137" s="52">
        <f>SUM(C116:C119)</f>
        <v>0.1174</v>
      </c>
    </row>
    <row r="138" spans="1:9" s="2" customFormat="1" ht="12.75" customHeight="1" x14ac:dyDescent="0.2">
      <c r="A138" s="1"/>
      <c r="B138" s="1"/>
      <c r="C138" s="1"/>
      <c r="D138" s="120"/>
      <c r="G138" s="49" t="s">
        <v>30</v>
      </c>
      <c r="H138" s="50">
        <f>H136/(1-H137)</f>
        <v>3970.1525443093519</v>
      </c>
    </row>
    <row r="139" spans="1:9" s="2" customFormat="1" ht="12.75" customHeight="1" x14ac:dyDescent="0.2">
      <c r="A139" s="1"/>
      <c r="B139" s="1"/>
      <c r="C139" s="1"/>
      <c r="D139" s="1"/>
      <c r="G139" s="49" t="s">
        <v>51</v>
      </c>
      <c r="H139" s="50">
        <f>H138-H136</f>
        <v>466.09590870191778</v>
      </c>
    </row>
    <row r="140" spans="1:9" s="3" customFormat="1" ht="17.100000000000001" customHeight="1" x14ac:dyDescent="0.2">
      <c r="A140" s="1"/>
      <c r="B140" s="1"/>
      <c r="C140" s="1"/>
      <c r="D140" s="135"/>
    </row>
    <row r="141" spans="1:9" ht="12.75" customHeight="1" x14ac:dyDescent="0.2">
      <c r="A141" s="9"/>
      <c r="B141" s="9"/>
      <c r="C141" s="9"/>
      <c r="D141" s="9"/>
    </row>
    <row r="142" spans="1:9" ht="12.75" customHeight="1" x14ac:dyDescent="0.2">
      <c r="A142" s="9"/>
      <c r="B142" s="9"/>
      <c r="C142" s="9"/>
      <c r="D142" s="9"/>
    </row>
    <row r="143" spans="1:9" ht="12.75" customHeight="1" x14ac:dyDescent="0.2">
      <c r="A143" s="9"/>
      <c r="B143" s="9"/>
      <c r="C143" s="9"/>
      <c r="D143" s="9"/>
    </row>
    <row r="144" spans="1:9" x14ac:dyDescent="0.2">
      <c r="A144" s="9"/>
      <c r="B144" s="9"/>
      <c r="C144" s="9"/>
      <c r="D144" s="9"/>
    </row>
    <row r="145" spans="1:4" x14ac:dyDescent="0.2">
      <c r="A145" s="9"/>
      <c r="B145" s="9"/>
      <c r="C145" s="9"/>
      <c r="D145" s="9"/>
    </row>
    <row r="146" spans="1:4" x14ac:dyDescent="0.2">
      <c r="A146" s="9"/>
      <c r="B146" s="9"/>
      <c r="C146" s="9"/>
      <c r="D146" s="9"/>
    </row>
    <row r="147" spans="1:4" ht="12.75" customHeight="1" x14ac:dyDescent="0.2">
      <c r="A147" s="9"/>
      <c r="B147" s="9"/>
      <c r="C147" s="9"/>
      <c r="D147" s="9"/>
    </row>
    <row r="148" spans="1:4" x14ac:dyDescent="0.2">
      <c r="A148" s="9"/>
      <c r="B148" s="9"/>
      <c r="C148" s="9"/>
      <c r="D148" s="9"/>
    </row>
    <row r="151" spans="1:4" ht="13.5" customHeight="1" x14ac:dyDescent="0.2"/>
    <row r="153" spans="1:4" ht="16.5" customHeight="1" x14ac:dyDescent="0.2"/>
  </sheetData>
  <mergeCells count="53">
    <mergeCell ref="C12:D12"/>
    <mergeCell ref="A1:D1"/>
    <mergeCell ref="C2:D2"/>
    <mergeCell ref="C3:D3"/>
    <mergeCell ref="C4:D4"/>
    <mergeCell ref="A5:D5"/>
    <mergeCell ref="C6:D6"/>
    <mergeCell ref="C7:D7"/>
    <mergeCell ref="C8:D8"/>
    <mergeCell ref="C9:D9"/>
    <mergeCell ref="C10:D10"/>
    <mergeCell ref="C11:D11"/>
    <mergeCell ref="A26:D26"/>
    <mergeCell ref="C13:D13"/>
    <mergeCell ref="A15:D15"/>
    <mergeCell ref="C16:D16"/>
    <mergeCell ref="C17:D17"/>
    <mergeCell ref="C18:D18"/>
    <mergeCell ref="A20:D20"/>
    <mergeCell ref="C21:D21"/>
    <mergeCell ref="C22:D22"/>
    <mergeCell ref="C23:D23"/>
    <mergeCell ref="C24:D24"/>
    <mergeCell ref="A25:D25"/>
    <mergeCell ref="B68:C68"/>
    <mergeCell ref="A35:B35"/>
    <mergeCell ref="A37:D37"/>
    <mergeCell ref="A41:C41"/>
    <mergeCell ref="A42:D42"/>
    <mergeCell ref="A52:B52"/>
    <mergeCell ref="A53:D53"/>
    <mergeCell ref="B54:C54"/>
    <mergeCell ref="A63:C63"/>
    <mergeCell ref="A65:C65"/>
    <mergeCell ref="B66:C66"/>
    <mergeCell ref="B67:C67"/>
    <mergeCell ref="B102:D102"/>
    <mergeCell ref="A69:C69"/>
    <mergeCell ref="A71:D71"/>
    <mergeCell ref="A72:B72"/>
    <mergeCell ref="A81:D81"/>
    <mergeCell ref="B94:C94"/>
    <mergeCell ref="A96:C96"/>
    <mergeCell ref="B97:D97"/>
    <mergeCell ref="A98:C98"/>
    <mergeCell ref="B99:C99"/>
    <mergeCell ref="B100:C100"/>
    <mergeCell ref="A101:C101"/>
    <mergeCell ref="A103:D103"/>
    <mergeCell ref="A110:D110"/>
    <mergeCell ref="A111:D111"/>
    <mergeCell ref="A122:D122"/>
    <mergeCell ref="A123:D123"/>
  </mergeCells>
  <printOptions horizontalCentered="1"/>
  <pageMargins left="0.78740157480314965" right="0.59055118110236215" top="1.6141732283464567" bottom="0.59055118110236215" header="0.39370078740157483" footer="0.51181102362204722"/>
  <pageSetup paperSize="9" scale="58" firstPageNumber="0" fitToHeight="2" orientation="portrait" r:id="rId1"/>
  <headerFooter alignWithMargins="0"/>
  <rowBreaks count="1" manualBreakCount="1">
    <brk id="79" max="3" man="1"/>
  </rowBreaks>
  <colBreaks count="1" manualBreakCount="1">
    <brk id="4" max="132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3B13E-68F4-418A-8182-AD6D280B49D2}">
  <dimension ref="A1:I153"/>
  <sheetViews>
    <sheetView showGridLines="0" view="pageBreakPreview" topLeftCell="A109" zoomScaleNormal="100" zoomScaleSheetLayoutView="100" workbookViewId="0">
      <selection activeCell="C113" sqref="C113"/>
    </sheetView>
  </sheetViews>
  <sheetFormatPr defaultColWidth="12" defaultRowHeight="12.75" x14ac:dyDescent="0.2"/>
  <cols>
    <col min="1" max="1" width="5.140625" style="1" customWidth="1"/>
    <col min="2" max="2" width="67.42578125" style="1" customWidth="1"/>
    <col min="3" max="3" width="13.28515625" style="1" customWidth="1"/>
    <col min="4" max="4" width="20" style="1" customWidth="1"/>
    <col min="5" max="5" width="15.85546875" style="1" bestFit="1" customWidth="1"/>
    <col min="6" max="6" width="11.42578125" style="1" bestFit="1" customWidth="1"/>
    <col min="7" max="7" width="11.140625" style="1" customWidth="1"/>
    <col min="8" max="8" width="14.28515625" style="1" bestFit="1" customWidth="1"/>
    <col min="9" max="251" width="11.5703125" style="1" customWidth="1"/>
    <col min="252" max="16384" width="12" style="1"/>
  </cols>
  <sheetData>
    <row r="1" spans="1:4" ht="12.75" customHeight="1" x14ac:dyDescent="0.2">
      <c r="A1" s="221" t="s">
        <v>1</v>
      </c>
      <c r="B1" s="221"/>
      <c r="C1" s="221"/>
      <c r="D1" s="221"/>
    </row>
    <row r="2" spans="1:4" x14ac:dyDescent="0.2">
      <c r="A2" s="5"/>
      <c r="B2" s="6" t="s">
        <v>60</v>
      </c>
      <c r="C2" s="220">
        <v>2023021564</v>
      </c>
      <c r="D2" s="220"/>
    </row>
    <row r="3" spans="1:4" x14ac:dyDescent="0.2">
      <c r="A3" s="5"/>
      <c r="B3" s="6" t="s">
        <v>164</v>
      </c>
      <c r="C3" s="220" t="s">
        <v>165</v>
      </c>
      <c r="D3" s="220"/>
    </row>
    <row r="4" spans="1:4" x14ac:dyDescent="0.2">
      <c r="A4" s="5"/>
      <c r="B4" s="6" t="s">
        <v>56</v>
      </c>
      <c r="C4" s="222">
        <v>45167</v>
      </c>
      <c r="D4" s="220"/>
    </row>
    <row r="5" spans="1:4" ht="12.75" customHeight="1" x14ac:dyDescent="0.2">
      <c r="A5" s="223" t="s">
        <v>2</v>
      </c>
      <c r="B5" s="223"/>
      <c r="C5" s="223"/>
      <c r="D5" s="223"/>
    </row>
    <row r="6" spans="1:4" ht="12.75" customHeight="1" x14ac:dyDescent="0.2">
      <c r="A6" s="5"/>
      <c r="B6" s="6" t="s">
        <v>57</v>
      </c>
      <c r="C6" s="219" t="s">
        <v>166</v>
      </c>
      <c r="D6" s="219"/>
    </row>
    <row r="7" spans="1:4" x14ac:dyDescent="0.2">
      <c r="A7" s="5"/>
      <c r="B7" s="6" t="s">
        <v>58</v>
      </c>
      <c r="C7" s="219" t="s">
        <v>167</v>
      </c>
      <c r="D7" s="219"/>
    </row>
    <row r="8" spans="1:4" x14ac:dyDescent="0.2">
      <c r="A8" s="5"/>
      <c r="B8" s="6" t="s">
        <v>59</v>
      </c>
      <c r="C8" s="216" t="s">
        <v>228</v>
      </c>
      <c r="D8" s="216"/>
    </row>
    <row r="9" spans="1:4" x14ac:dyDescent="0.2">
      <c r="A9" s="5"/>
      <c r="B9" s="6" t="s">
        <v>61</v>
      </c>
      <c r="C9" s="204" t="s">
        <v>168</v>
      </c>
      <c r="D9" s="204"/>
    </row>
    <row r="10" spans="1:4" x14ac:dyDescent="0.2">
      <c r="A10" s="5"/>
      <c r="B10" s="6" t="s">
        <v>42</v>
      </c>
      <c r="C10" s="220">
        <v>2023</v>
      </c>
      <c r="D10" s="220"/>
    </row>
    <row r="11" spans="1:4" ht="12.75" customHeight="1" x14ac:dyDescent="0.2">
      <c r="A11" s="5"/>
      <c r="B11" s="6" t="s">
        <v>48</v>
      </c>
      <c r="C11" s="204" t="s">
        <v>169</v>
      </c>
      <c r="D11" s="204"/>
    </row>
    <row r="12" spans="1:4" x14ac:dyDescent="0.2">
      <c r="A12" s="5"/>
      <c r="B12" s="6" t="s">
        <v>53</v>
      </c>
      <c r="C12" s="216" t="s">
        <v>170</v>
      </c>
      <c r="D12" s="216"/>
    </row>
    <row r="13" spans="1:4" x14ac:dyDescent="0.2">
      <c r="A13" s="7"/>
      <c r="B13" s="8" t="s">
        <v>55</v>
      </c>
      <c r="C13" s="217" t="s">
        <v>145</v>
      </c>
      <c r="D13" s="217"/>
    </row>
    <row r="14" spans="1:4" ht="12.75" customHeight="1" x14ac:dyDescent="0.2">
      <c r="A14" s="9"/>
      <c r="B14" s="9"/>
      <c r="C14" s="9"/>
      <c r="D14" s="9"/>
    </row>
    <row r="15" spans="1:4" ht="12.75" customHeight="1" x14ac:dyDescent="0.2">
      <c r="A15" s="213" t="s">
        <v>3</v>
      </c>
      <c r="B15" s="213"/>
      <c r="C15" s="213"/>
      <c r="D15" s="213"/>
    </row>
    <row r="16" spans="1:4" x14ac:dyDescent="0.2">
      <c r="A16" s="5"/>
      <c r="B16" s="6" t="s">
        <v>106</v>
      </c>
      <c r="C16" s="218" t="s">
        <v>139</v>
      </c>
      <c r="D16" s="218"/>
    </row>
    <row r="17" spans="1:7" x14ac:dyDescent="0.2">
      <c r="A17" s="5"/>
      <c r="B17" s="6" t="s">
        <v>147</v>
      </c>
      <c r="C17" s="204" t="s">
        <v>140</v>
      </c>
      <c r="D17" s="204"/>
    </row>
    <row r="18" spans="1:7" x14ac:dyDescent="0.2">
      <c r="A18" s="7"/>
      <c r="B18" s="8" t="s">
        <v>65</v>
      </c>
      <c r="C18" s="212"/>
      <c r="D18" s="212"/>
    </row>
    <row r="19" spans="1:7" x14ac:dyDescent="0.2">
      <c r="A19" s="9"/>
      <c r="B19" s="9"/>
      <c r="C19" s="9"/>
      <c r="D19" s="9"/>
    </row>
    <row r="20" spans="1:7" x14ac:dyDescent="0.2">
      <c r="A20" s="213" t="s">
        <v>43</v>
      </c>
      <c r="B20" s="213"/>
      <c r="C20" s="213"/>
      <c r="D20" s="213"/>
    </row>
    <row r="21" spans="1:7" x14ac:dyDescent="0.2">
      <c r="A21" s="47" t="s">
        <v>44</v>
      </c>
      <c r="B21" s="6" t="s">
        <v>103</v>
      </c>
      <c r="C21" s="214" t="str">
        <f>C16</f>
        <v>limpeza e conservação</v>
      </c>
      <c r="D21" s="214"/>
    </row>
    <row r="22" spans="1:7" x14ac:dyDescent="0.2">
      <c r="A22" s="47" t="s">
        <v>45</v>
      </c>
      <c r="B22" s="6" t="s">
        <v>66</v>
      </c>
      <c r="C22" s="215">
        <v>1793.98</v>
      </c>
      <c r="D22" s="215"/>
    </row>
    <row r="23" spans="1:7" x14ac:dyDescent="0.2">
      <c r="A23" s="47" t="s">
        <v>46</v>
      </c>
      <c r="B23" s="6" t="s">
        <v>104</v>
      </c>
      <c r="C23" s="204"/>
      <c r="D23" s="204"/>
    </row>
    <row r="24" spans="1:7" x14ac:dyDescent="0.2">
      <c r="A24" s="48" t="s">
        <v>47</v>
      </c>
      <c r="B24" s="8" t="s">
        <v>54</v>
      </c>
      <c r="C24" s="205" t="s">
        <v>171</v>
      </c>
      <c r="D24" s="205"/>
    </row>
    <row r="25" spans="1:7" s="2" customFormat="1" ht="33" customHeight="1" x14ac:dyDescent="0.2">
      <c r="A25" s="206" t="s">
        <v>0</v>
      </c>
      <c r="B25" s="206"/>
      <c r="C25" s="206"/>
      <c r="D25" s="206"/>
    </row>
    <row r="26" spans="1:7" s="2" customFormat="1" x14ac:dyDescent="0.2">
      <c r="A26" s="194" t="s">
        <v>4</v>
      </c>
      <c r="B26" s="194"/>
      <c r="C26" s="194"/>
      <c r="D26" s="194"/>
    </row>
    <row r="27" spans="1:7" s="2" customFormat="1" x14ac:dyDescent="0.2">
      <c r="A27" s="15"/>
      <c r="B27" s="23"/>
      <c r="C27" s="40"/>
      <c r="D27" s="58">
        <f>C22</f>
        <v>1793.98</v>
      </c>
      <c r="F27" s="1"/>
      <c r="G27" s="1"/>
    </row>
    <row r="28" spans="1:7" s="2" customFormat="1" ht="12.75" customHeight="1" x14ac:dyDescent="0.2">
      <c r="A28" s="12" t="s">
        <v>6</v>
      </c>
      <c r="B28" s="16" t="s">
        <v>7</v>
      </c>
      <c r="C28" s="41"/>
      <c r="D28" s="14"/>
      <c r="F28" s="1"/>
      <c r="G28" s="1"/>
    </row>
    <row r="29" spans="1:7" s="2" customFormat="1" ht="12.75" customHeight="1" x14ac:dyDescent="0.2">
      <c r="A29" s="12" t="s">
        <v>8</v>
      </c>
      <c r="B29" s="16" t="s">
        <v>9</v>
      </c>
      <c r="C29" s="41"/>
      <c r="D29" s="14"/>
      <c r="F29" s="1"/>
      <c r="G29" s="1"/>
    </row>
    <row r="30" spans="1:7" s="2" customFormat="1" ht="12.75" customHeight="1" x14ac:dyDescent="0.2">
      <c r="A30" s="12" t="s">
        <v>10</v>
      </c>
      <c r="B30" s="16" t="s">
        <v>11</v>
      </c>
      <c r="C30" s="41"/>
      <c r="D30" s="55">
        <v>0</v>
      </c>
      <c r="F30" s="1"/>
      <c r="G30" s="1"/>
    </row>
    <row r="31" spans="1:7" s="2" customFormat="1" ht="12.75" customHeight="1" x14ac:dyDescent="0.2">
      <c r="A31" s="12" t="s">
        <v>12</v>
      </c>
      <c r="B31" s="16" t="s">
        <v>227</v>
      </c>
      <c r="C31" s="41"/>
      <c r="D31" s="14">
        <f>(C22/220)*20%*105/52.5*60</f>
        <v>195.70690909090911</v>
      </c>
      <c r="F31" s="1"/>
      <c r="G31" s="1"/>
    </row>
    <row r="32" spans="1:7" s="2" customFormat="1" ht="12.75" customHeight="1" x14ac:dyDescent="0.2">
      <c r="A32" s="12" t="s">
        <v>13</v>
      </c>
      <c r="B32" s="16" t="s">
        <v>67</v>
      </c>
      <c r="C32" s="41"/>
      <c r="D32" s="14"/>
      <c r="F32" s="1"/>
      <c r="G32" s="1"/>
    </row>
    <row r="33" spans="1:9" ht="12.75" customHeight="1" x14ac:dyDescent="0.2">
      <c r="A33" s="12" t="s">
        <v>14</v>
      </c>
      <c r="B33" s="16" t="s">
        <v>68</v>
      </c>
      <c r="C33" s="42"/>
      <c r="D33" s="14"/>
    </row>
    <row r="34" spans="1:9" ht="12.75" customHeight="1" x14ac:dyDescent="0.2">
      <c r="A34" s="12" t="s">
        <v>15</v>
      </c>
      <c r="B34" s="16" t="s">
        <v>17</v>
      </c>
      <c r="C34" s="42"/>
      <c r="D34" s="14"/>
    </row>
    <row r="35" spans="1:9" s="3" customFormat="1" ht="12.75" customHeight="1" x14ac:dyDescent="0.2">
      <c r="A35" s="200" t="s">
        <v>82</v>
      </c>
      <c r="B35" s="192"/>
      <c r="C35" s="43"/>
      <c r="D35" s="58">
        <f>SUM(D27:D34)</f>
        <v>1989.686909090909</v>
      </c>
      <c r="F35" s="1"/>
      <c r="G35" s="135"/>
    </row>
    <row r="36" spans="1:9" ht="10.5" customHeight="1" x14ac:dyDescent="0.2">
      <c r="A36" s="9"/>
      <c r="B36" s="9"/>
      <c r="C36" s="9"/>
      <c r="D36" s="9"/>
    </row>
    <row r="37" spans="1:9" s="2" customFormat="1" ht="17.100000000000001" customHeight="1" x14ac:dyDescent="0.2">
      <c r="A37" s="194" t="s">
        <v>69</v>
      </c>
      <c r="B37" s="194"/>
      <c r="C37" s="194"/>
      <c r="D37" s="194"/>
    </row>
    <row r="38" spans="1:9" s="2" customFormat="1" x14ac:dyDescent="0.2">
      <c r="A38" s="24" t="s">
        <v>70</v>
      </c>
      <c r="B38" s="36" t="s">
        <v>71</v>
      </c>
      <c r="C38" s="40" t="s">
        <v>5</v>
      </c>
      <c r="D38" s="21" t="s">
        <v>40</v>
      </c>
    </row>
    <row r="39" spans="1:9" s="2" customFormat="1" ht="12.75" customHeight="1" x14ac:dyDescent="0.2">
      <c r="A39" s="12" t="s">
        <v>6</v>
      </c>
      <c r="B39" s="16" t="s">
        <v>29</v>
      </c>
      <c r="C39" s="13">
        <v>8.3299999999999999E-2</v>
      </c>
      <c r="D39" s="14">
        <f>C39*$D$35</f>
        <v>165.74091952727272</v>
      </c>
    </row>
    <row r="40" spans="1:9" s="2" customFormat="1" ht="12.75" customHeight="1" x14ac:dyDescent="0.2">
      <c r="A40" s="12" t="s">
        <v>8</v>
      </c>
      <c r="B40" s="16" t="s">
        <v>72</v>
      </c>
      <c r="C40" s="13">
        <v>0.1111</v>
      </c>
      <c r="D40" s="14">
        <f>C40*$D$35</f>
        <v>221.05421559999999</v>
      </c>
    </row>
    <row r="41" spans="1:9" s="2" customFormat="1" ht="12.75" customHeight="1" x14ac:dyDescent="0.2">
      <c r="A41" s="207" t="s">
        <v>27</v>
      </c>
      <c r="B41" s="208"/>
      <c r="C41" s="209"/>
      <c r="D41" s="25">
        <f>SUM(D39:D40)</f>
        <v>386.79513512727272</v>
      </c>
    </row>
    <row r="42" spans="1:9" s="2" customFormat="1" ht="12.75" customHeight="1" x14ac:dyDescent="0.2">
      <c r="A42" s="207"/>
      <c r="B42" s="210"/>
      <c r="C42" s="210"/>
      <c r="D42" s="211"/>
      <c r="I42" s="134"/>
    </row>
    <row r="43" spans="1:9" s="2" customFormat="1" ht="12.75" customHeight="1" x14ac:dyDescent="0.2">
      <c r="A43" s="24" t="s">
        <v>73</v>
      </c>
      <c r="B43" s="36" t="s">
        <v>74</v>
      </c>
      <c r="C43" s="40" t="s">
        <v>5</v>
      </c>
      <c r="D43" s="21" t="s">
        <v>40</v>
      </c>
    </row>
    <row r="44" spans="1:9" s="2" customFormat="1" ht="12.75" customHeight="1" x14ac:dyDescent="0.2">
      <c r="A44" s="12" t="s">
        <v>6</v>
      </c>
      <c r="B44" s="16" t="s">
        <v>22</v>
      </c>
      <c r="C44" s="13">
        <v>0.2</v>
      </c>
      <c r="D44" s="14">
        <f>D35*C44</f>
        <v>397.93738181818185</v>
      </c>
    </row>
    <row r="45" spans="1:9" s="2" customFormat="1" ht="12.75" customHeight="1" x14ac:dyDescent="0.2">
      <c r="A45" s="12" t="s">
        <v>8</v>
      </c>
      <c r="B45" s="16" t="s">
        <v>24</v>
      </c>
      <c r="C45" s="13">
        <v>2.5000000000000001E-2</v>
      </c>
      <c r="D45" s="14">
        <f>D35*C45</f>
        <v>49.742172727272731</v>
      </c>
    </row>
    <row r="46" spans="1:9" s="2" customFormat="1" ht="12.75" customHeight="1" x14ac:dyDescent="0.2">
      <c r="A46" s="12" t="s">
        <v>10</v>
      </c>
      <c r="B46" s="16" t="s">
        <v>75</v>
      </c>
      <c r="C46" s="136">
        <v>0.03</v>
      </c>
      <c r="D46" s="14">
        <f>D35*C46</f>
        <v>59.69060727272727</v>
      </c>
    </row>
    <row r="47" spans="1:9" s="2" customFormat="1" ht="12.75" customHeight="1" x14ac:dyDescent="0.2">
      <c r="A47" s="12" t="s">
        <v>12</v>
      </c>
      <c r="B47" s="16" t="s">
        <v>76</v>
      </c>
      <c r="C47" s="13">
        <v>1.4999999999999999E-2</v>
      </c>
      <c r="D47" s="14">
        <f>D35*C47</f>
        <v>29.845303636363635</v>
      </c>
    </row>
    <row r="48" spans="1:9" ht="12.75" customHeight="1" x14ac:dyDescent="0.2">
      <c r="A48" s="12" t="s">
        <v>13</v>
      </c>
      <c r="B48" s="16" t="s">
        <v>77</v>
      </c>
      <c r="C48" s="13">
        <v>0.01</v>
      </c>
      <c r="D48" s="14">
        <f>D35*C48</f>
        <v>19.896869090909089</v>
      </c>
      <c r="I48" s="135"/>
    </row>
    <row r="49" spans="1:7" s="3" customFormat="1" ht="17.100000000000001" customHeight="1" x14ac:dyDescent="0.2">
      <c r="A49" s="12" t="s">
        <v>14</v>
      </c>
      <c r="B49" s="16" t="s">
        <v>26</v>
      </c>
      <c r="C49" s="13">
        <v>6.0000000000000001E-3</v>
      </c>
      <c r="D49" s="14">
        <f>D35*C49</f>
        <v>11.938121454545454</v>
      </c>
    </row>
    <row r="50" spans="1:7" ht="12.75" customHeight="1" x14ac:dyDescent="0.2">
      <c r="A50" s="12" t="s">
        <v>15</v>
      </c>
      <c r="B50" s="16" t="s">
        <v>23</v>
      </c>
      <c r="C50" s="13">
        <v>2E-3</v>
      </c>
      <c r="D50" s="14">
        <f>D35*C50</f>
        <v>3.9793738181818181</v>
      </c>
    </row>
    <row r="51" spans="1:7" s="2" customFormat="1" ht="12.75" customHeight="1" x14ac:dyDescent="0.2">
      <c r="A51" s="12" t="s">
        <v>16</v>
      </c>
      <c r="B51" s="16" t="s">
        <v>25</v>
      </c>
      <c r="C51" s="13">
        <v>0.08</v>
      </c>
      <c r="D51" s="14">
        <f>D35*C51</f>
        <v>159.17495272727271</v>
      </c>
    </row>
    <row r="52" spans="1:7" s="2" customFormat="1" x14ac:dyDescent="0.2">
      <c r="A52" s="200" t="s">
        <v>27</v>
      </c>
      <c r="B52" s="192"/>
      <c r="C52" s="43">
        <f>SUM(C44:C51)</f>
        <v>0.36800000000000005</v>
      </c>
      <c r="D52" s="19">
        <f>SUM(D44:D51)</f>
        <v>732.20478254545458</v>
      </c>
    </row>
    <row r="53" spans="1:7" s="2" customFormat="1" x14ac:dyDescent="0.2">
      <c r="A53" s="200"/>
      <c r="B53" s="192"/>
      <c r="C53" s="192"/>
      <c r="D53" s="193"/>
    </row>
    <row r="54" spans="1:7" s="2" customFormat="1" x14ac:dyDescent="0.2">
      <c r="A54" s="20" t="s">
        <v>78</v>
      </c>
      <c r="B54" s="198" t="s">
        <v>79</v>
      </c>
      <c r="C54" s="199"/>
      <c r="D54" s="28" t="s">
        <v>40</v>
      </c>
    </row>
    <row r="55" spans="1:7" s="2" customFormat="1" ht="12.75" customHeight="1" x14ac:dyDescent="0.2">
      <c r="A55" s="12" t="s">
        <v>6</v>
      </c>
      <c r="B55" s="16" t="s">
        <v>18</v>
      </c>
      <c r="C55" s="55">
        <v>0</v>
      </c>
      <c r="D55" s="14">
        <v>0</v>
      </c>
      <c r="E55" s="134">
        <f>C55*22*2</f>
        <v>0</v>
      </c>
      <c r="F55" s="2">
        <f>D35*6%</f>
        <v>119.38121454545454</v>
      </c>
      <c r="G55" s="2">
        <f>E55-F55</f>
        <v>-119.38121454545454</v>
      </c>
    </row>
    <row r="56" spans="1:7" s="2" customFormat="1" ht="12.75" customHeight="1" x14ac:dyDescent="0.2">
      <c r="A56" s="12" t="s">
        <v>8</v>
      </c>
      <c r="B56" s="16" t="s">
        <v>80</v>
      </c>
      <c r="C56" s="55">
        <v>18.2</v>
      </c>
      <c r="D56" s="14">
        <f>G56</f>
        <v>356.35599999999999</v>
      </c>
      <c r="E56" s="137">
        <f>C56*22</f>
        <v>400.4</v>
      </c>
      <c r="F56" s="137">
        <f>E56*11%</f>
        <v>44.043999999999997</v>
      </c>
      <c r="G56" s="134">
        <f>E56-F56</f>
        <v>356.35599999999999</v>
      </c>
    </row>
    <row r="57" spans="1:7" s="2" customFormat="1" ht="12.75" customHeight="1" x14ac:dyDescent="0.2">
      <c r="A57" s="12" t="s">
        <v>10</v>
      </c>
      <c r="B57" s="16" t="s">
        <v>155</v>
      </c>
      <c r="C57" s="54"/>
      <c r="D57" s="14">
        <v>0</v>
      </c>
    </row>
    <row r="58" spans="1:7" s="2" customFormat="1" ht="12.75" customHeight="1" x14ac:dyDescent="0.2">
      <c r="A58" s="12" t="s">
        <v>12</v>
      </c>
      <c r="B58" s="16" t="s">
        <v>144</v>
      </c>
      <c r="C58" s="54"/>
      <c r="D58" s="14">
        <v>0</v>
      </c>
    </row>
    <row r="59" spans="1:7" s="2" customFormat="1" ht="12.75" customHeight="1" x14ac:dyDescent="0.2">
      <c r="A59" s="12" t="s">
        <v>13</v>
      </c>
      <c r="B59" s="16" t="s">
        <v>156</v>
      </c>
      <c r="C59" s="41"/>
      <c r="D59" s="14">
        <v>0</v>
      </c>
      <c r="G59" s="130"/>
    </row>
    <row r="60" spans="1:7" s="2" customFormat="1" ht="12.75" customHeight="1" x14ac:dyDescent="0.2">
      <c r="A60" s="12" t="s">
        <v>14</v>
      </c>
      <c r="B60" s="16" t="s">
        <v>172</v>
      </c>
      <c r="C60" s="41"/>
      <c r="D60" s="14">
        <v>16</v>
      </c>
    </row>
    <row r="61" spans="1:7" s="2" customFormat="1" ht="12.75" customHeight="1" x14ac:dyDescent="0.2">
      <c r="A61" s="57" t="s">
        <v>15</v>
      </c>
      <c r="B61" s="66" t="s">
        <v>105</v>
      </c>
      <c r="C61" s="41"/>
      <c r="D61" s="122">
        <v>2.54</v>
      </c>
    </row>
    <row r="62" spans="1:7" s="2" customFormat="1" ht="12.75" customHeight="1" x14ac:dyDescent="0.2">
      <c r="A62" s="57"/>
      <c r="B62" s="62"/>
      <c r="C62" s="41"/>
      <c r="D62" s="14"/>
      <c r="E62" s="134"/>
    </row>
    <row r="63" spans="1:7" s="2" customFormat="1" ht="12.75" customHeight="1" x14ac:dyDescent="0.2">
      <c r="A63" s="200" t="s">
        <v>27</v>
      </c>
      <c r="B63" s="192"/>
      <c r="C63" s="193"/>
      <c r="D63" s="19">
        <f>SUM(D55:D62)</f>
        <v>374.89600000000002</v>
      </c>
      <c r="E63" s="134"/>
    </row>
    <row r="64" spans="1:7" ht="28.35" customHeight="1" x14ac:dyDescent="0.2">
      <c r="A64" s="9"/>
      <c r="B64" s="9"/>
      <c r="C64" s="9"/>
      <c r="D64" s="9"/>
      <c r="E64" s="135"/>
    </row>
    <row r="65" spans="1:7" x14ac:dyDescent="0.2">
      <c r="A65" s="198" t="s">
        <v>90</v>
      </c>
      <c r="B65" s="201"/>
      <c r="C65" s="199"/>
      <c r="D65" s="19"/>
    </row>
    <row r="66" spans="1:7" s="2" customFormat="1" ht="12.75" customHeight="1" x14ac:dyDescent="0.2">
      <c r="A66" s="27" t="s">
        <v>70</v>
      </c>
      <c r="B66" s="184" t="s">
        <v>81</v>
      </c>
      <c r="C66" s="184"/>
      <c r="D66" s="19">
        <f>D41</f>
        <v>386.79513512727272</v>
      </c>
    </row>
    <row r="67" spans="1:7" s="4" customFormat="1" x14ac:dyDescent="0.2">
      <c r="A67" s="27" t="s">
        <v>73</v>
      </c>
      <c r="B67" s="184" t="s">
        <v>74</v>
      </c>
      <c r="C67" s="184"/>
      <c r="D67" s="19">
        <f>D52</f>
        <v>732.20478254545458</v>
      </c>
      <c r="F67" s="2"/>
      <c r="G67" s="2"/>
    </row>
    <row r="68" spans="1:7" s="2" customFormat="1" ht="12.75" customHeight="1" x14ac:dyDescent="0.2">
      <c r="A68" s="27" t="s">
        <v>78</v>
      </c>
      <c r="B68" s="184" t="s">
        <v>79</v>
      </c>
      <c r="C68" s="184"/>
      <c r="D68" s="19">
        <f>D63</f>
        <v>374.89600000000002</v>
      </c>
    </row>
    <row r="69" spans="1:7" s="2" customFormat="1" ht="12.75" customHeight="1" x14ac:dyDescent="0.2">
      <c r="A69" s="189" t="s">
        <v>27</v>
      </c>
      <c r="B69" s="190"/>
      <c r="C69" s="191"/>
      <c r="D69" s="19">
        <f>SUM(D66:D68)</f>
        <v>1493.8959176727274</v>
      </c>
    </row>
    <row r="70" spans="1:7" s="2" customFormat="1" ht="12.75" customHeight="1" x14ac:dyDescent="0.2"/>
    <row r="71" spans="1:7" s="2" customFormat="1" ht="12.75" customHeight="1" x14ac:dyDescent="0.2">
      <c r="A71" s="194" t="s">
        <v>83</v>
      </c>
      <c r="B71" s="194"/>
      <c r="C71" s="194"/>
      <c r="D71" s="194"/>
    </row>
    <row r="72" spans="1:7" s="2" customFormat="1" ht="12.75" customHeight="1" x14ac:dyDescent="0.2">
      <c r="A72" s="202"/>
      <c r="B72" s="203"/>
      <c r="C72" s="40" t="s">
        <v>5</v>
      </c>
      <c r="D72" s="21" t="s">
        <v>40</v>
      </c>
    </row>
    <row r="73" spans="1:7" s="3" customFormat="1" ht="17.100000000000001" customHeight="1" x14ac:dyDescent="0.2">
      <c r="A73" s="12" t="s">
        <v>6</v>
      </c>
      <c r="B73" s="16" t="s">
        <v>32</v>
      </c>
      <c r="C73" s="13">
        <v>4.1999999999999997E-3</v>
      </c>
      <c r="D73" s="128">
        <f>D27*C73</f>
        <v>7.5347159999999995</v>
      </c>
      <c r="F73" s="2"/>
      <c r="G73" s="2"/>
    </row>
    <row r="74" spans="1:7" ht="15" customHeight="1" x14ac:dyDescent="0.2">
      <c r="A74" s="12" t="s">
        <v>8</v>
      </c>
      <c r="B74" s="16" t="s">
        <v>50</v>
      </c>
      <c r="C74" s="41"/>
      <c r="D74" s="128">
        <f>$C$51*D73</f>
        <v>0.60277727999999997</v>
      </c>
      <c r="F74" s="2"/>
      <c r="G74" s="2"/>
    </row>
    <row r="75" spans="1:7" s="4" customFormat="1" x14ac:dyDescent="0.2">
      <c r="A75" s="123" t="s">
        <v>10</v>
      </c>
      <c r="B75" s="16" t="s">
        <v>62</v>
      </c>
      <c r="C75" s="64">
        <v>4.3499999999999997E-2</v>
      </c>
      <c r="D75" s="129">
        <f>D35*C75</f>
        <v>86.551380545454535</v>
      </c>
      <c r="F75" s="2"/>
      <c r="G75" s="2"/>
    </row>
    <row r="76" spans="1:7" s="2" customFormat="1" ht="12.75" customHeight="1" x14ac:dyDescent="0.2">
      <c r="A76" s="12" t="s">
        <v>12</v>
      </c>
      <c r="B76" s="132" t="s">
        <v>33</v>
      </c>
      <c r="C76" s="136">
        <v>4.0000000000000002E-4</v>
      </c>
      <c r="D76" s="128">
        <f>D27*C76</f>
        <v>0.71759200000000001</v>
      </c>
    </row>
    <row r="77" spans="1:7" s="3" customFormat="1" x14ac:dyDescent="0.2">
      <c r="A77" s="12" t="s">
        <v>13</v>
      </c>
      <c r="B77" s="16" t="s">
        <v>63</v>
      </c>
      <c r="C77" s="41"/>
      <c r="D77" s="14">
        <f>$C$52*D76</f>
        <v>0.26407385600000005</v>
      </c>
      <c r="F77" s="2"/>
      <c r="G77" s="2"/>
    </row>
    <row r="78" spans="1:7" s="2" customFormat="1" ht="12.75" customHeight="1" x14ac:dyDescent="0.2">
      <c r="A78" s="123" t="s">
        <v>14</v>
      </c>
      <c r="B78" s="16" t="s">
        <v>64</v>
      </c>
      <c r="C78" s="64">
        <v>6.4999999999999997E-3</v>
      </c>
      <c r="D78" s="65">
        <f>D35*C78</f>
        <v>12.932964909090908</v>
      </c>
    </row>
    <row r="79" spans="1:7" s="3" customFormat="1" x14ac:dyDescent="0.2">
      <c r="A79" s="38" t="s">
        <v>27</v>
      </c>
      <c r="B79" s="124"/>
      <c r="C79" s="125">
        <f>SUM(C73:C78)</f>
        <v>5.4599999999999996E-2</v>
      </c>
      <c r="D79" s="19">
        <f>SUM(D73:D78)</f>
        <v>108.60350459054544</v>
      </c>
      <c r="F79" s="2"/>
      <c r="G79" s="2"/>
    </row>
    <row r="80" spans="1:7" ht="15" customHeight="1" x14ac:dyDescent="0.2">
      <c r="A80" s="9"/>
      <c r="B80" s="9"/>
      <c r="C80" s="9"/>
      <c r="D80" s="9"/>
      <c r="F80" s="2"/>
      <c r="G80" s="2"/>
    </row>
    <row r="81" spans="1:9" ht="15" customHeight="1" x14ac:dyDescent="0.2">
      <c r="A81" s="194" t="s">
        <v>84</v>
      </c>
      <c r="B81" s="194"/>
      <c r="C81" s="194"/>
      <c r="D81" s="194"/>
      <c r="F81" s="2"/>
      <c r="G81" s="2"/>
    </row>
    <row r="82" spans="1:9" s="4" customFormat="1" x14ac:dyDescent="0.2">
      <c r="A82" s="24" t="s">
        <v>21</v>
      </c>
      <c r="B82" s="36" t="s">
        <v>85</v>
      </c>
      <c r="C82" s="40" t="s">
        <v>5</v>
      </c>
      <c r="D82" s="21" t="s">
        <v>40</v>
      </c>
      <c r="F82" s="2"/>
      <c r="G82" s="2"/>
    </row>
    <row r="83" spans="1:9" s="2" customFormat="1" ht="12.75" customHeight="1" x14ac:dyDescent="0.2">
      <c r="A83" s="12" t="s">
        <v>6</v>
      </c>
      <c r="B83" s="16" t="s">
        <v>86</v>
      </c>
      <c r="C83" s="13">
        <v>8.3299999999999999E-2</v>
      </c>
      <c r="D83" s="14">
        <f t="shared" ref="D83:D88" si="0">C83*$D$35</f>
        <v>165.74091952727272</v>
      </c>
    </row>
    <row r="84" spans="1:9" s="2" customFormat="1" ht="12.75" customHeight="1" x14ac:dyDescent="0.2">
      <c r="A84" s="12" t="s">
        <v>8</v>
      </c>
      <c r="B84" s="16" t="s">
        <v>85</v>
      </c>
      <c r="C84" s="13">
        <v>2.2200000000000001E-2</v>
      </c>
      <c r="D84" s="14">
        <f t="shared" si="0"/>
        <v>44.171049381818179</v>
      </c>
    </row>
    <row r="85" spans="1:9" s="3" customFormat="1" x14ac:dyDescent="0.2">
      <c r="A85" s="12" t="s">
        <v>10</v>
      </c>
      <c r="B85" s="16" t="s">
        <v>87</v>
      </c>
      <c r="C85" s="13">
        <v>1.4999999999999999E-2</v>
      </c>
      <c r="D85" s="14">
        <f t="shared" si="0"/>
        <v>29.845303636363635</v>
      </c>
      <c r="F85" s="2"/>
      <c r="G85" s="2"/>
    </row>
    <row r="86" spans="1:9" x14ac:dyDescent="0.2">
      <c r="A86" s="12" t="s">
        <v>12</v>
      </c>
      <c r="B86" s="16" t="s">
        <v>34</v>
      </c>
      <c r="C86" s="13">
        <v>0.01</v>
      </c>
      <c r="D86" s="14">
        <f t="shared" si="0"/>
        <v>19.896869090909089</v>
      </c>
      <c r="F86" s="2"/>
      <c r="G86" s="2"/>
    </row>
    <row r="87" spans="1:9" s="4" customFormat="1" x14ac:dyDescent="0.2">
      <c r="A87" s="12" t="s">
        <v>13</v>
      </c>
      <c r="B87" s="16" t="s">
        <v>31</v>
      </c>
      <c r="C87" s="13">
        <v>0.01</v>
      </c>
      <c r="D87" s="14">
        <f t="shared" si="0"/>
        <v>19.896869090909089</v>
      </c>
      <c r="F87" s="2"/>
      <c r="G87" s="2"/>
    </row>
    <row r="88" spans="1:9" s="2" customFormat="1" ht="12.75" customHeight="1" x14ac:dyDescent="0.2">
      <c r="A88" s="12" t="s">
        <v>14</v>
      </c>
      <c r="B88" s="16" t="s">
        <v>17</v>
      </c>
      <c r="C88" s="13">
        <v>0</v>
      </c>
      <c r="D88" s="14">
        <f t="shared" si="0"/>
        <v>0</v>
      </c>
    </row>
    <row r="89" spans="1:9" s="2" customFormat="1" ht="12.75" customHeight="1" x14ac:dyDescent="0.2">
      <c r="A89" s="12"/>
      <c r="B89" s="62"/>
      <c r="C89" s="126">
        <f>SUM(C83:C88)</f>
        <v>0.14050000000000001</v>
      </c>
      <c r="D89" s="14">
        <f>SUM(D83:D88)</f>
        <v>279.55101072727268</v>
      </c>
    </row>
    <row r="90" spans="1:9" s="2" customFormat="1" ht="12.75" customHeight="1" x14ac:dyDescent="0.2">
      <c r="A90" s="18"/>
      <c r="B90" s="138" t="s">
        <v>27</v>
      </c>
      <c r="C90" s="43">
        <f>C39+C40+C52+C79+C89</f>
        <v>0.75750000000000006</v>
      </c>
      <c r="D90" s="19">
        <f>D89</f>
        <v>279.55101072727268</v>
      </c>
    </row>
    <row r="91" spans="1:9" s="2" customFormat="1" ht="12.75" customHeight="1" x14ac:dyDescent="0.2">
      <c r="A91" s="139"/>
      <c r="D91" s="19">
        <f>SUM(D90:D90)</f>
        <v>279.55101072727268</v>
      </c>
    </row>
    <row r="92" spans="1:9" s="2" customFormat="1" ht="12.75" customHeight="1" x14ac:dyDescent="0.2">
      <c r="A92" s="18"/>
      <c r="B92" s="138" t="s">
        <v>27</v>
      </c>
      <c r="C92" s="43">
        <f>C90</f>
        <v>0.75750000000000006</v>
      </c>
      <c r="D92" s="26">
        <f>C90*D27</f>
        <v>1358.9398500000002</v>
      </c>
      <c r="E92" s="127"/>
      <c r="F92" s="3"/>
      <c r="G92" s="3"/>
      <c r="H92" s="3"/>
      <c r="I92" s="3"/>
    </row>
    <row r="93" spans="1:9" s="2" customFormat="1" ht="12.75" customHeight="1" x14ac:dyDescent="0.2">
      <c r="A93" s="18"/>
      <c r="B93" s="138"/>
      <c r="C93" s="43"/>
      <c r="D93" s="19"/>
      <c r="E93" s="127"/>
      <c r="F93" s="3"/>
      <c r="G93" s="3"/>
      <c r="H93" s="3"/>
      <c r="I93" s="3"/>
    </row>
    <row r="94" spans="1:9" s="2" customFormat="1" ht="12.75" customHeight="1" x14ac:dyDescent="0.2">
      <c r="A94" s="20" t="s">
        <v>28</v>
      </c>
      <c r="B94" s="198" t="s">
        <v>88</v>
      </c>
      <c r="C94" s="199"/>
      <c r="D94" s="28" t="s">
        <v>40</v>
      </c>
      <c r="F94" s="3"/>
      <c r="G94" s="3"/>
      <c r="H94" s="3"/>
      <c r="I94" s="3"/>
    </row>
    <row r="95" spans="1:9" s="2" customFormat="1" ht="12.75" customHeight="1" x14ac:dyDescent="0.2">
      <c r="A95" s="12" t="s">
        <v>6</v>
      </c>
      <c r="B95" s="16" t="s">
        <v>89</v>
      </c>
      <c r="C95" s="54"/>
      <c r="D95" s="14">
        <v>0</v>
      </c>
      <c r="F95" s="3"/>
      <c r="G95" s="3"/>
      <c r="H95" s="3"/>
      <c r="I95" s="3"/>
    </row>
    <row r="96" spans="1:9" s="2" customFormat="1" ht="12.75" customHeight="1" x14ac:dyDescent="0.2">
      <c r="A96" s="200" t="s">
        <v>27</v>
      </c>
      <c r="B96" s="192"/>
      <c r="C96" s="193"/>
      <c r="D96" s="19">
        <f>D95</f>
        <v>0</v>
      </c>
      <c r="F96" s="3"/>
      <c r="G96" s="3"/>
      <c r="H96" s="3"/>
      <c r="I96" s="3"/>
    </row>
    <row r="97" spans="1:9" s="2" customFormat="1" ht="12.75" customHeight="1" x14ac:dyDescent="0.2">
      <c r="A97" s="20"/>
      <c r="B97" s="192"/>
      <c r="C97" s="192"/>
      <c r="D97" s="193"/>
      <c r="F97" s="3"/>
      <c r="G97" s="3"/>
      <c r="H97" s="3"/>
      <c r="I97" s="3"/>
    </row>
    <row r="98" spans="1:9" s="2" customFormat="1" ht="12.75" customHeight="1" x14ac:dyDescent="0.2">
      <c r="A98" s="198" t="s">
        <v>91</v>
      </c>
      <c r="B98" s="201"/>
      <c r="C98" s="199"/>
      <c r="D98" s="19"/>
      <c r="F98" s="3"/>
      <c r="G98" s="3"/>
      <c r="H98" s="3"/>
      <c r="I98" s="3"/>
    </row>
    <row r="99" spans="1:9" s="2" customFormat="1" ht="12.75" customHeight="1" x14ac:dyDescent="0.2">
      <c r="A99" s="27" t="s">
        <v>21</v>
      </c>
      <c r="B99" s="184" t="s">
        <v>85</v>
      </c>
      <c r="C99" s="184"/>
      <c r="D99" s="19">
        <f>D91</f>
        <v>279.55101072727268</v>
      </c>
      <c r="F99" s="3"/>
      <c r="G99" s="3"/>
      <c r="H99" s="3"/>
      <c r="I99" s="3"/>
    </row>
    <row r="100" spans="1:9" s="2" customFormat="1" ht="12.75" customHeight="1" x14ac:dyDescent="0.2">
      <c r="A100" s="27" t="s">
        <v>28</v>
      </c>
      <c r="B100" s="184" t="s">
        <v>88</v>
      </c>
      <c r="C100" s="184"/>
      <c r="D100" s="19">
        <f>D96</f>
        <v>0</v>
      </c>
      <c r="F100" s="3"/>
      <c r="G100" s="3"/>
      <c r="H100" s="3"/>
      <c r="I100" s="3"/>
    </row>
    <row r="101" spans="1:9" s="2" customFormat="1" ht="12.75" customHeight="1" x14ac:dyDescent="0.2">
      <c r="A101" s="189" t="s">
        <v>27</v>
      </c>
      <c r="B101" s="190"/>
      <c r="C101" s="191"/>
      <c r="D101" s="19">
        <f>SUM(D99:D100)</f>
        <v>279.55101072727268</v>
      </c>
      <c r="F101" s="3"/>
      <c r="G101" s="3"/>
      <c r="H101" s="3"/>
      <c r="I101" s="3"/>
    </row>
    <row r="102" spans="1:9" s="2" customFormat="1" ht="12.75" customHeight="1" x14ac:dyDescent="0.2">
      <c r="A102" s="20"/>
      <c r="B102" s="192"/>
      <c r="C102" s="192"/>
      <c r="D102" s="193"/>
      <c r="F102" s="3"/>
      <c r="G102" s="3"/>
      <c r="H102" s="3"/>
      <c r="I102" s="3"/>
    </row>
    <row r="103" spans="1:9" s="2" customFormat="1" ht="12.75" customHeight="1" x14ac:dyDescent="0.2">
      <c r="A103" s="194" t="s">
        <v>92</v>
      </c>
      <c r="B103" s="194"/>
      <c r="C103" s="194"/>
      <c r="D103" s="194"/>
      <c r="F103" s="3"/>
      <c r="G103" s="3"/>
      <c r="H103" s="3"/>
      <c r="I103" s="3"/>
    </row>
    <row r="104" spans="1:9" s="2" customFormat="1" ht="12.75" customHeight="1" x14ac:dyDescent="0.2">
      <c r="A104" s="22"/>
      <c r="B104" s="23"/>
      <c r="C104" s="40"/>
      <c r="D104" s="21" t="s">
        <v>40</v>
      </c>
      <c r="F104" s="3"/>
      <c r="G104" s="3"/>
      <c r="H104" s="3"/>
      <c r="I104" s="3"/>
    </row>
    <row r="105" spans="1:9" s="2" customFormat="1" ht="12.75" customHeight="1" x14ac:dyDescent="0.2">
      <c r="A105" s="12" t="s">
        <v>6</v>
      </c>
      <c r="B105" s="16" t="s">
        <v>19</v>
      </c>
      <c r="C105" s="41"/>
      <c r="D105" s="14">
        <f>Uniforme!E9</f>
        <v>43.333333333333336</v>
      </c>
      <c r="F105" s="3"/>
      <c r="G105" s="3"/>
      <c r="H105" s="3"/>
      <c r="I105" s="3"/>
    </row>
    <row r="106" spans="1:9" s="2" customFormat="1" ht="12.75" customHeight="1" x14ac:dyDescent="0.2">
      <c r="A106" s="12" t="s">
        <v>8</v>
      </c>
      <c r="B106" s="16" t="s">
        <v>20</v>
      </c>
      <c r="C106" s="41"/>
      <c r="D106" s="14">
        <v>0</v>
      </c>
      <c r="F106" s="3"/>
      <c r="G106" s="3"/>
      <c r="H106" s="3"/>
      <c r="I106" s="3"/>
    </row>
    <row r="107" spans="1:9" s="3" customFormat="1" x14ac:dyDescent="0.2">
      <c r="A107" s="12" t="s">
        <v>10</v>
      </c>
      <c r="B107" s="16" t="s">
        <v>173</v>
      </c>
      <c r="C107" s="41"/>
      <c r="D107" s="14">
        <v>30</v>
      </c>
    </row>
    <row r="108" spans="1:9" s="3" customFormat="1" x14ac:dyDescent="0.2">
      <c r="A108" s="12" t="s">
        <v>12</v>
      </c>
      <c r="B108" s="133" t="s">
        <v>143</v>
      </c>
      <c r="C108" s="41"/>
      <c r="D108" s="14">
        <v>0</v>
      </c>
    </row>
    <row r="109" spans="1:9" s="4" customFormat="1" x14ac:dyDescent="0.2">
      <c r="A109" s="12"/>
      <c r="B109" s="17" t="s">
        <v>27</v>
      </c>
      <c r="C109" s="28"/>
      <c r="D109" s="19">
        <f>D105+D106+D107+D108</f>
        <v>73.333333333333343</v>
      </c>
      <c r="F109" s="3"/>
      <c r="G109" s="3"/>
      <c r="H109" s="3"/>
      <c r="I109" s="3"/>
    </row>
    <row r="110" spans="1:9" s="4" customFormat="1" x14ac:dyDescent="0.2">
      <c r="A110" s="195"/>
      <c r="B110" s="196"/>
      <c r="C110" s="196"/>
      <c r="D110" s="197"/>
      <c r="F110" s="3"/>
      <c r="G110" s="3"/>
      <c r="H110" s="3"/>
      <c r="I110" s="3"/>
    </row>
    <row r="111" spans="1:9" s="2" customFormat="1" ht="12.75" customHeight="1" x14ac:dyDescent="0.2">
      <c r="A111" s="187" t="s">
        <v>93</v>
      </c>
      <c r="B111" s="187"/>
      <c r="C111" s="187"/>
      <c r="D111" s="187"/>
      <c r="F111" s="3"/>
      <c r="G111" s="3"/>
      <c r="H111" s="3"/>
      <c r="I111" s="3"/>
    </row>
    <row r="112" spans="1:9" s="2" customFormat="1" ht="12.75" customHeight="1" x14ac:dyDescent="0.2">
      <c r="A112" s="29"/>
      <c r="B112" s="23"/>
      <c r="C112" s="21" t="s">
        <v>5</v>
      </c>
      <c r="D112" s="21" t="s">
        <v>40</v>
      </c>
      <c r="F112" s="3"/>
      <c r="G112" s="3"/>
      <c r="H112" s="3"/>
      <c r="I112" s="3"/>
    </row>
    <row r="113" spans="1:9" s="2" customFormat="1" ht="12.75" customHeight="1" x14ac:dyDescent="0.2">
      <c r="A113" s="12" t="s">
        <v>6</v>
      </c>
      <c r="B113" s="16" t="s">
        <v>35</v>
      </c>
      <c r="C113" s="13">
        <v>5.3400000000000003E-2</v>
      </c>
      <c r="D113" s="14">
        <f>D130*C113</f>
        <v>210.66677406714967</v>
      </c>
      <c r="E113" s="137">
        <f>Resumo!D115</f>
        <v>1004342.4501434504</v>
      </c>
      <c r="F113" s="3"/>
      <c r="G113" s="3"/>
      <c r="H113" s="3"/>
      <c r="I113" s="3"/>
    </row>
    <row r="114" spans="1:9" s="2" customFormat="1" ht="12.75" customHeight="1" x14ac:dyDescent="0.2">
      <c r="A114" s="12" t="s">
        <v>8</v>
      </c>
      <c r="B114" s="16" t="s">
        <v>37</v>
      </c>
      <c r="C114" s="13">
        <v>0.06</v>
      </c>
      <c r="D114" s="30">
        <f>(D130+D113)*C114</f>
        <v>249.34424696891625</v>
      </c>
      <c r="E114" s="137"/>
      <c r="F114" s="3"/>
      <c r="G114" s="3"/>
      <c r="H114" s="3"/>
      <c r="I114" s="3"/>
    </row>
    <row r="115" spans="1:9" s="2" customFormat="1" ht="12.75" customHeight="1" x14ac:dyDescent="0.2">
      <c r="A115" s="12" t="s">
        <v>10</v>
      </c>
      <c r="B115" s="16" t="s">
        <v>36</v>
      </c>
      <c r="C115" s="44"/>
      <c r="D115" s="30"/>
      <c r="F115" s="3"/>
      <c r="G115" s="3"/>
      <c r="H115" s="3"/>
      <c r="I115" s="3"/>
    </row>
    <row r="116" spans="1:9" s="2" customFormat="1" ht="12.75" customHeight="1" x14ac:dyDescent="0.2">
      <c r="A116" s="12"/>
      <c r="B116" s="16" t="s">
        <v>230</v>
      </c>
      <c r="C116" s="13">
        <v>6.7400000000000002E-2</v>
      </c>
      <c r="D116" s="14">
        <f>C116*$H$138</f>
        <v>336.39531649760659</v>
      </c>
      <c r="F116" s="3"/>
      <c r="G116" s="3"/>
      <c r="H116" s="3"/>
      <c r="I116" s="3"/>
    </row>
    <row r="117" spans="1:9" s="3" customFormat="1" x14ac:dyDescent="0.2">
      <c r="A117" s="12"/>
      <c r="B117" s="16" t="s">
        <v>94</v>
      </c>
      <c r="C117" s="13">
        <v>0</v>
      </c>
      <c r="D117" s="14">
        <f>C117*$H$138</f>
        <v>0</v>
      </c>
    </row>
    <row r="118" spans="1:9" s="2" customFormat="1" ht="12.75" customHeight="1" x14ac:dyDescent="0.2">
      <c r="A118" s="12"/>
      <c r="B118" s="16" t="s">
        <v>95</v>
      </c>
      <c r="C118" s="13">
        <v>0.05</v>
      </c>
      <c r="D118" s="14">
        <f>C118*$H$138</f>
        <v>249.55142173412952</v>
      </c>
      <c r="F118" s="3"/>
      <c r="G118" s="3"/>
      <c r="H118" s="3"/>
      <c r="I118" s="3"/>
    </row>
    <row r="119" spans="1:9" s="3" customFormat="1" x14ac:dyDescent="0.2">
      <c r="A119" s="12"/>
      <c r="B119" s="16" t="s">
        <v>96</v>
      </c>
      <c r="C119" s="13"/>
      <c r="D119" s="14">
        <f>C119*$H$138</f>
        <v>0</v>
      </c>
    </row>
    <row r="120" spans="1:9" s="3" customFormat="1" x14ac:dyDescent="0.2">
      <c r="A120" s="31"/>
      <c r="B120" s="20" t="s">
        <v>27</v>
      </c>
      <c r="C120" s="43">
        <f>SUM(C113:C119)</f>
        <v>0.23080000000000001</v>
      </c>
      <c r="D120" s="19">
        <f>SUM(D113:D119)</f>
        <v>1045.957759267802</v>
      </c>
      <c r="H120" s="140"/>
    </row>
    <row r="121" spans="1:9" s="3" customFormat="1" ht="15" customHeight="1" x14ac:dyDescent="0.2">
      <c r="A121" s="9"/>
      <c r="B121" s="9"/>
      <c r="C121" s="9"/>
      <c r="D121" s="9"/>
      <c r="E121" s="121"/>
    </row>
    <row r="122" spans="1:9" s="3" customFormat="1" ht="23.25" x14ac:dyDescent="0.2">
      <c r="A122" s="185"/>
      <c r="B122" s="186"/>
      <c r="C122" s="186"/>
      <c r="D122" s="186"/>
    </row>
    <row r="123" spans="1:9" s="3" customFormat="1" x14ac:dyDescent="0.2">
      <c r="A123" s="187" t="s">
        <v>38</v>
      </c>
      <c r="B123" s="188"/>
      <c r="C123" s="188"/>
      <c r="D123" s="188"/>
    </row>
    <row r="124" spans="1:9" s="3" customFormat="1" x14ac:dyDescent="0.2">
      <c r="A124" s="10"/>
      <c r="B124" s="10"/>
      <c r="C124" s="11"/>
      <c r="D124" s="21" t="s">
        <v>40</v>
      </c>
      <c r="H124" s="120"/>
    </row>
    <row r="125" spans="1:9" s="3" customFormat="1" x14ac:dyDescent="0.2">
      <c r="A125" s="32" t="s">
        <v>6</v>
      </c>
      <c r="B125" s="37" t="s">
        <v>39</v>
      </c>
      <c r="C125" s="45"/>
      <c r="D125" s="53">
        <f>D35</f>
        <v>1989.686909090909</v>
      </c>
    </row>
    <row r="126" spans="1:9" s="3" customFormat="1" x14ac:dyDescent="0.2">
      <c r="A126" s="32" t="s">
        <v>8</v>
      </c>
      <c r="B126" s="37" t="s">
        <v>97</v>
      </c>
      <c r="C126" s="45"/>
      <c r="D126" s="53">
        <f>D69</f>
        <v>1493.8959176727274</v>
      </c>
      <c r="H126" s="120"/>
    </row>
    <row r="127" spans="1:9" s="3" customFormat="1" x14ac:dyDescent="0.2">
      <c r="A127" s="32" t="s">
        <v>10</v>
      </c>
      <c r="B127" s="37" t="s">
        <v>98</v>
      </c>
      <c r="C127" s="45"/>
      <c r="D127" s="53">
        <f>D79</f>
        <v>108.60350459054544</v>
      </c>
    </row>
    <row r="128" spans="1:9" s="3" customFormat="1" x14ac:dyDescent="0.2">
      <c r="A128" s="32" t="s">
        <v>12</v>
      </c>
      <c r="B128" s="37" t="s">
        <v>99</v>
      </c>
      <c r="C128" s="45"/>
      <c r="D128" s="53">
        <f>D91</f>
        <v>279.55101072727268</v>
      </c>
    </row>
    <row r="129" spans="1:9" s="3" customFormat="1" x14ac:dyDescent="0.2">
      <c r="A129" s="32" t="s">
        <v>13</v>
      </c>
      <c r="B129" s="37" t="s">
        <v>100</v>
      </c>
      <c r="C129" s="45"/>
      <c r="D129" s="53">
        <f>D109</f>
        <v>73.333333333333343</v>
      </c>
      <c r="E129" s="61"/>
      <c r="F129" s="120"/>
    </row>
    <row r="130" spans="1:9" x14ac:dyDescent="0.2">
      <c r="A130" s="18"/>
      <c r="B130" s="38" t="s">
        <v>101</v>
      </c>
      <c r="C130" s="46"/>
      <c r="D130" s="33">
        <f>SUM(D125:D129)</f>
        <v>3945.0706754147877</v>
      </c>
    </row>
    <row r="131" spans="1:9" s="2" customFormat="1" x14ac:dyDescent="0.2">
      <c r="A131" s="34" t="s">
        <v>13</v>
      </c>
      <c r="B131" s="39" t="s">
        <v>102</v>
      </c>
      <c r="C131" s="45"/>
      <c r="D131" s="53">
        <f>D120</f>
        <v>1045.957759267802</v>
      </c>
    </row>
    <row r="132" spans="1:9" s="4" customFormat="1" x14ac:dyDescent="0.2">
      <c r="A132" s="31"/>
      <c r="B132" s="38" t="s">
        <v>41</v>
      </c>
      <c r="C132" s="56"/>
      <c r="D132" s="35">
        <f>ROUND(D130+D131,2)</f>
        <v>4991.03</v>
      </c>
      <c r="E132" s="60">
        <f>D132/D125</f>
        <v>2.5084499361160337</v>
      </c>
    </row>
    <row r="133" spans="1:9" s="2" customFormat="1" ht="12.75" customHeight="1" x14ac:dyDescent="0.2">
      <c r="A133" s="9"/>
      <c r="B133" s="9"/>
      <c r="C133" s="9"/>
      <c r="D133" s="9"/>
    </row>
    <row r="134" spans="1:9" s="2" customFormat="1" ht="12.75" customHeight="1" x14ac:dyDescent="0.2">
      <c r="A134" s="1"/>
      <c r="B134" s="1"/>
      <c r="C134" s="1"/>
      <c r="D134" s="1"/>
    </row>
    <row r="135" spans="1:9" s="2" customFormat="1" ht="12.75" customHeight="1" x14ac:dyDescent="0.2">
      <c r="A135" s="1"/>
      <c r="B135" s="1"/>
      <c r="C135" s="1"/>
      <c r="D135" s="1"/>
    </row>
    <row r="136" spans="1:9" s="2" customFormat="1" ht="12.75" customHeight="1" x14ac:dyDescent="0.2">
      <c r="A136" s="1"/>
      <c r="B136" s="1"/>
      <c r="C136" s="1"/>
      <c r="D136" s="1"/>
      <c r="G136" s="49" t="s">
        <v>49</v>
      </c>
      <c r="H136" s="50">
        <f>D130+D114+D113</f>
        <v>4405.081696450854</v>
      </c>
      <c r="I136" s="51" t="s">
        <v>52</v>
      </c>
    </row>
    <row r="137" spans="1:9" s="2" customFormat="1" ht="12.75" customHeight="1" x14ac:dyDescent="0.2">
      <c r="A137" s="1"/>
      <c r="B137" s="1"/>
      <c r="C137" s="1"/>
      <c r="D137" s="1"/>
      <c r="G137" s="49" t="s">
        <v>36</v>
      </c>
      <c r="H137" s="52">
        <f>SUM(C116:C119)</f>
        <v>0.1174</v>
      </c>
    </row>
    <row r="138" spans="1:9" s="2" customFormat="1" ht="12.75" customHeight="1" x14ac:dyDescent="0.2">
      <c r="A138" s="1"/>
      <c r="B138" s="1"/>
      <c r="C138" s="1"/>
      <c r="D138" s="120"/>
      <c r="G138" s="49" t="s">
        <v>30</v>
      </c>
      <c r="H138" s="50">
        <f>H136/(1-H137)</f>
        <v>4991.0284346825902</v>
      </c>
    </row>
    <row r="139" spans="1:9" s="2" customFormat="1" ht="12.75" customHeight="1" x14ac:dyDescent="0.2">
      <c r="A139" s="1"/>
      <c r="B139" s="1"/>
      <c r="C139" s="1"/>
      <c r="D139" s="1"/>
      <c r="G139" s="49" t="s">
        <v>51</v>
      </c>
      <c r="H139" s="50">
        <f>H138-H136</f>
        <v>585.94673823173616</v>
      </c>
    </row>
    <row r="140" spans="1:9" s="3" customFormat="1" ht="17.100000000000001" customHeight="1" x14ac:dyDescent="0.2">
      <c r="A140" s="1"/>
      <c r="B140" s="1"/>
      <c r="C140" s="1"/>
      <c r="D140" s="135"/>
    </row>
    <row r="141" spans="1:9" ht="12.75" customHeight="1" x14ac:dyDescent="0.2">
      <c r="A141" s="9"/>
      <c r="B141" s="9"/>
      <c r="C141" s="9"/>
      <c r="D141" s="9"/>
    </row>
    <row r="142" spans="1:9" ht="12.75" customHeight="1" x14ac:dyDescent="0.2">
      <c r="A142" s="9"/>
      <c r="B142" s="9"/>
      <c r="C142" s="9"/>
      <c r="D142" s="9"/>
    </row>
    <row r="143" spans="1:9" ht="12.75" customHeight="1" x14ac:dyDescent="0.2">
      <c r="A143" s="9"/>
      <c r="B143" s="9"/>
      <c r="C143" s="9"/>
      <c r="D143" s="9"/>
    </row>
    <row r="144" spans="1:9" x14ac:dyDescent="0.2">
      <c r="A144" s="9"/>
      <c r="B144" s="9"/>
      <c r="C144" s="9"/>
      <c r="D144" s="9"/>
    </row>
    <row r="145" spans="1:4" x14ac:dyDescent="0.2">
      <c r="A145" s="9"/>
      <c r="B145" s="9"/>
      <c r="C145" s="9"/>
      <c r="D145" s="9"/>
    </row>
    <row r="146" spans="1:4" x14ac:dyDescent="0.2">
      <c r="A146" s="9"/>
      <c r="B146" s="9"/>
      <c r="C146" s="9"/>
      <c r="D146" s="9"/>
    </row>
    <row r="147" spans="1:4" ht="12.75" customHeight="1" x14ac:dyDescent="0.2">
      <c r="A147" s="9"/>
      <c r="B147" s="9"/>
      <c r="C147" s="9"/>
      <c r="D147" s="9"/>
    </row>
    <row r="148" spans="1:4" x14ac:dyDescent="0.2">
      <c r="A148" s="9"/>
      <c r="B148" s="9"/>
      <c r="C148" s="9"/>
      <c r="D148" s="9"/>
    </row>
    <row r="151" spans="1:4" ht="13.5" customHeight="1" x14ac:dyDescent="0.2"/>
    <row r="153" spans="1:4" ht="16.5" customHeight="1" x14ac:dyDescent="0.2"/>
  </sheetData>
  <mergeCells count="53">
    <mergeCell ref="C12:D12"/>
    <mergeCell ref="A1:D1"/>
    <mergeCell ref="C2:D2"/>
    <mergeCell ref="C3:D3"/>
    <mergeCell ref="C4:D4"/>
    <mergeCell ref="A5:D5"/>
    <mergeCell ref="C6:D6"/>
    <mergeCell ref="C7:D7"/>
    <mergeCell ref="C8:D8"/>
    <mergeCell ref="C9:D9"/>
    <mergeCell ref="C10:D10"/>
    <mergeCell ref="C11:D11"/>
    <mergeCell ref="A26:D26"/>
    <mergeCell ref="C13:D13"/>
    <mergeCell ref="A15:D15"/>
    <mergeCell ref="C16:D16"/>
    <mergeCell ref="C17:D17"/>
    <mergeCell ref="C18:D18"/>
    <mergeCell ref="A20:D20"/>
    <mergeCell ref="C21:D21"/>
    <mergeCell ref="C22:D22"/>
    <mergeCell ref="C23:D23"/>
    <mergeCell ref="C24:D24"/>
    <mergeCell ref="A25:D25"/>
    <mergeCell ref="B68:C68"/>
    <mergeCell ref="A35:B35"/>
    <mergeCell ref="A37:D37"/>
    <mergeCell ref="A41:C41"/>
    <mergeCell ref="A42:D42"/>
    <mergeCell ref="A52:B52"/>
    <mergeCell ref="A53:D53"/>
    <mergeCell ref="B54:C54"/>
    <mergeCell ref="A63:C63"/>
    <mergeCell ref="A65:C65"/>
    <mergeCell ref="B66:C66"/>
    <mergeCell ref="B67:C67"/>
    <mergeCell ref="B102:D102"/>
    <mergeCell ref="A69:C69"/>
    <mergeCell ref="A71:D71"/>
    <mergeCell ref="A72:B72"/>
    <mergeCell ref="A81:D81"/>
    <mergeCell ref="B94:C94"/>
    <mergeCell ref="A96:C96"/>
    <mergeCell ref="B97:D97"/>
    <mergeCell ref="A98:C98"/>
    <mergeCell ref="B99:C99"/>
    <mergeCell ref="B100:C100"/>
    <mergeCell ref="A101:C101"/>
    <mergeCell ref="A103:D103"/>
    <mergeCell ref="A110:D110"/>
    <mergeCell ref="A111:D111"/>
    <mergeCell ref="A122:D122"/>
    <mergeCell ref="A123:D123"/>
  </mergeCells>
  <printOptions horizontalCentered="1"/>
  <pageMargins left="0.78740157480314965" right="0.59055118110236215" top="1.6141732283464567" bottom="0.59055118110236215" header="0.39370078740157483" footer="0.51181102362204722"/>
  <pageSetup paperSize="9" scale="58" firstPageNumber="0" fitToHeight="2" orientation="portrait" r:id="rId1"/>
  <headerFooter alignWithMargins="0"/>
  <rowBreaks count="1" manualBreakCount="1">
    <brk id="79" max="3" man="1"/>
  </rowBreaks>
  <colBreaks count="1" manualBreakCount="1">
    <brk id="4" max="132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"/>
  <sheetViews>
    <sheetView view="pageBreakPreview" zoomScaleNormal="100" zoomScaleSheetLayoutView="100" workbookViewId="0">
      <selection activeCell="C113" sqref="C113"/>
    </sheetView>
  </sheetViews>
  <sheetFormatPr defaultRowHeight="12.75" x14ac:dyDescent="0.2"/>
  <cols>
    <col min="1" max="1" width="24.85546875" bestFit="1" customWidth="1"/>
    <col min="2" max="2" width="12" bestFit="1" customWidth="1"/>
    <col min="3" max="3" width="16.5703125" bestFit="1" customWidth="1"/>
    <col min="4" max="4" width="13.140625" bestFit="1" customWidth="1"/>
  </cols>
  <sheetData>
    <row r="1" spans="1:4" ht="45" x14ac:dyDescent="0.2">
      <c r="A1" s="148" t="s">
        <v>130</v>
      </c>
      <c r="B1" s="148" t="s">
        <v>157</v>
      </c>
      <c r="C1" s="148" t="s">
        <v>188</v>
      </c>
      <c r="D1" s="148" t="s">
        <v>158</v>
      </c>
    </row>
    <row r="2" spans="1:4" ht="15" x14ac:dyDescent="0.2">
      <c r="A2" s="149" t="s">
        <v>162</v>
      </c>
      <c r="B2" s="150">
        <v>10311.709999999999</v>
      </c>
      <c r="C2" s="150">
        <v>1200</v>
      </c>
      <c r="D2" s="167">
        <f>B2/C2</f>
        <v>8.5930916666666661</v>
      </c>
    </row>
    <row r="3" spans="1:4" ht="15" x14ac:dyDescent="0.2">
      <c r="A3" s="149" t="s">
        <v>163</v>
      </c>
      <c r="B3" s="151">
        <v>1049.29</v>
      </c>
      <c r="C3" s="150">
        <v>2700</v>
      </c>
      <c r="D3" s="167">
        <f t="shared" ref="D3:D4" si="0">B3/C3</f>
        <v>0.38862592592592593</v>
      </c>
    </row>
    <row r="4" spans="1:4" ht="15" x14ac:dyDescent="0.2">
      <c r="A4" s="149" t="s">
        <v>161</v>
      </c>
      <c r="B4" s="150">
        <v>3674.15</v>
      </c>
      <c r="C4" s="150">
        <v>450</v>
      </c>
      <c r="D4" s="167">
        <f t="shared" si="0"/>
        <v>8.1647777777777772</v>
      </c>
    </row>
    <row r="5" spans="1:4" ht="15" x14ac:dyDescent="0.2">
      <c r="A5" s="149" t="s">
        <v>226</v>
      </c>
      <c r="B5" s="150">
        <v>3004.57</v>
      </c>
      <c r="C5" s="150">
        <v>380</v>
      </c>
      <c r="D5" s="167">
        <f>B5/C5/15</f>
        <v>0.52711754385964915</v>
      </c>
    </row>
    <row r="6" spans="1:4" ht="15" x14ac:dyDescent="0.25">
      <c r="A6" s="152" t="s">
        <v>159</v>
      </c>
      <c r="B6" s="152">
        <f>SUM(B2:B5)</f>
        <v>18039.72</v>
      </c>
      <c r="C6" s="152"/>
      <c r="D6" s="153">
        <f>SUM(D2:D5)</f>
        <v>17.673612914230016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-0.249977111117893"/>
  </sheetPr>
  <dimension ref="A1:F9"/>
  <sheetViews>
    <sheetView view="pageBreakPreview" zoomScaleNormal="100" zoomScaleSheetLayoutView="100" workbookViewId="0">
      <selection activeCell="C113" sqref="C113"/>
    </sheetView>
  </sheetViews>
  <sheetFormatPr defaultRowHeight="12.75" x14ac:dyDescent="0.2"/>
  <cols>
    <col min="1" max="1" width="6.42578125" customWidth="1"/>
    <col min="2" max="2" width="20.7109375" bestFit="1" customWidth="1"/>
    <col min="3" max="3" width="13.85546875" customWidth="1"/>
    <col min="4" max="4" width="15.7109375" bestFit="1" customWidth="1"/>
    <col min="5" max="5" width="15.5703125" customWidth="1"/>
    <col min="6" max="6" width="16.140625" customWidth="1"/>
    <col min="7" max="7" width="13.28515625" bestFit="1" customWidth="1"/>
  </cols>
  <sheetData>
    <row r="1" spans="1:6" x14ac:dyDescent="0.2">
      <c r="A1" s="224" t="s">
        <v>174</v>
      </c>
      <c r="B1" s="224"/>
      <c r="C1" s="224"/>
      <c r="D1" s="224"/>
      <c r="E1" s="224"/>
      <c r="F1" s="224"/>
    </row>
    <row r="2" spans="1:6" x14ac:dyDescent="0.2">
      <c r="A2" s="142" t="s">
        <v>148</v>
      </c>
      <c r="B2" s="142" t="s">
        <v>141</v>
      </c>
      <c r="C2" s="142" t="s">
        <v>152</v>
      </c>
      <c r="D2" s="142" t="s">
        <v>153</v>
      </c>
      <c r="E2" s="142" t="s">
        <v>154</v>
      </c>
      <c r="F2" s="142" t="s">
        <v>142</v>
      </c>
    </row>
    <row r="3" spans="1:6" x14ac:dyDescent="0.2">
      <c r="A3" s="143">
        <v>1</v>
      </c>
      <c r="B3" s="144" t="s">
        <v>175</v>
      </c>
      <c r="C3" s="143" t="s">
        <v>152</v>
      </c>
      <c r="D3" s="143">
        <v>2</v>
      </c>
      <c r="E3" s="145">
        <v>50</v>
      </c>
      <c r="F3" s="145">
        <f>E3*D3</f>
        <v>100</v>
      </c>
    </row>
    <row r="4" spans="1:6" x14ac:dyDescent="0.2">
      <c r="A4" s="143">
        <v>2</v>
      </c>
      <c r="B4" s="144" t="s">
        <v>176</v>
      </c>
      <c r="C4" s="143" t="s">
        <v>152</v>
      </c>
      <c r="D4" s="143">
        <v>2</v>
      </c>
      <c r="E4" s="145">
        <v>40</v>
      </c>
      <c r="F4" s="145">
        <f t="shared" ref="F4:F7" si="0">E4*D4</f>
        <v>80</v>
      </c>
    </row>
    <row r="5" spans="1:6" x14ac:dyDescent="0.2">
      <c r="A5" s="143">
        <v>3</v>
      </c>
      <c r="B5" s="144" t="s">
        <v>177</v>
      </c>
      <c r="C5" s="143" t="s">
        <v>149</v>
      </c>
      <c r="D5" s="143">
        <v>1</v>
      </c>
      <c r="E5" s="145">
        <v>50</v>
      </c>
      <c r="F5" s="145">
        <f t="shared" si="0"/>
        <v>50</v>
      </c>
    </row>
    <row r="6" spans="1:6" x14ac:dyDescent="0.2">
      <c r="A6" s="143">
        <v>4</v>
      </c>
      <c r="B6" s="144" t="s">
        <v>178</v>
      </c>
      <c r="C6" s="143" t="s">
        <v>149</v>
      </c>
      <c r="D6" s="143">
        <v>2</v>
      </c>
      <c r="E6" s="145">
        <v>10</v>
      </c>
      <c r="F6" s="145">
        <f t="shared" si="0"/>
        <v>20</v>
      </c>
    </row>
    <row r="7" spans="1:6" x14ac:dyDescent="0.2">
      <c r="A7" s="143">
        <v>5</v>
      </c>
      <c r="B7" s="144" t="s">
        <v>179</v>
      </c>
      <c r="C7" s="143" t="s">
        <v>152</v>
      </c>
      <c r="D7" s="143">
        <v>1</v>
      </c>
      <c r="E7" s="145">
        <v>10</v>
      </c>
      <c r="F7" s="145">
        <f t="shared" si="0"/>
        <v>10</v>
      </c>
    </row>
    <row r="8" spans="1:6" x14ac:dyDescent="0.2">
      <c r="A8" s="225" t="s">
        <v>180</v>
      </c>
      <c r="B8" s="225"/>
      <c r="C8" s="225"/>
      <c r="D8" s="225"/>
      <c r="E8" s="226">
        <f>SUM(F3:F7)</f>
        <v>260</v>
      </c>
      <c r="F8" s="225"/>
    </row>
    <row r="9" spans="1:6" x14ac:dyDescent="0.2">
      <c r="A9" s="225" t="s">
        <v>181</v>
      </c>
      <c r="B9" s="225"/>
      <c r="C9" s="225"/>
      <c r="D9" s="225"/>
      <c r="E9" s="227">
        <f>E8/6</f>
        <v>43.333333333333336</v>
      </c>
      <c r="F9" s="225"/>
    </row>
  </sheetData>
  <mergeCells count="5">
    <mergeCell ref="A1:F1"/>
    <mergeCell ref="A8:D8"/>
    <mergeCell ref="A9:D9"/>
    <mergeCell ref="E8:F8"/>
    <mergeCell ref="E9:F9"/>
  </mergeCells>
  <pageMargins left="0.511811024" right="0.511811024" top="0.78740157499999996" bottom="0.78740157499999996" header="0.31496062000000002" footer="0.31496062000000002"/>
  <pageSetup paperSize="9" scale="5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0"/>
  <sheetViews>
    <sheetView view="pageBreakPreview" zoomScaleNormal="100" zoomScaleSheetLayoutView="100" workbookViewId="0">
      <selection activeCell="C113" sqref="C113"/>
    </sheetView>
  </sheetViews>
  <sheetFormatPr defaultRowHeight="12.75" x14ac:dyDescent="0.2"/>
  <cols>
    <col min="1" max="1" width="23.7109375" customWidth="1"/>
    <col min="2" max="2" width="16.42578125" customWidth="1"/>
    <col min="3" max="3" width="19.140625" customWidth="1"/>
    <col min="4" max="4" width="22.85546875" customWidth="1"/>
    <col min="5" max="5" width="14.5703125" customWidth="1"/>
    <col min="6" max="6" width="13.28515625" customWidth="1"/>
    <col min="7" max="7" width="13.85546875" customWidth="1"/>
  </cols>
  <sheetData>
    <row r="1" spans="1:7" s="68" customFormat="1" ht="16.5" customHeight="1" x14ac:dyDescent="0.2">
      <c r="A1" s="67"/>
      <c r="B1" s="67"/>
      <c r="C1" s="67"/>
      <c r="D1" s="67"/>
      <c r="E1" s="67"/>
      <c r="F1" s="67"/>
      <c r="G1" s="67"/>
    </row>
    <row r="2" spans="1:7" s="68" customFormat="1" ht="12" x14ac:dyDescent="0.2">
      <c r="A2" s="233" t="s">
        <v>107</v>
      </c>
      <c r="B2" s="233"/>
      <c r="C2" s="233"/>
      <c r="D2" s="233"/>
      <c r="E2" s="67"/>
      <c r="F2" s="67"/>
      <c r="G2" s="67"/>
    </row>
    <row r="3" spans="1:7" s="68" customFormat="1" thickBot="1" x14ac:dyDescent="0.25">
      <c r="A3" s="67"/>
      <c r="B3" s="67"/>
      <c r="C3" s="67"/>
      <c r="D3" s="67"/>
      <c r="E3" s="67"/>
      <c r="F3" s="67"/>
      <c r="G3" s="67"/>
    </row>
    <row r="4" spans="1:7" s="68" customFormat="1" thickBot="1" x14ac:dyDescent="0.25">
      <c r="A4" s="69" t="s">
        <v>108</v>
      </c>
      <c r="B4" s="70"/>
      <c r="C4" s="71"/>
      <c r="D4" s="71"/>
      <c r="E4" s="67"/>
      <c r="F4" s="67"/>
      <c r="G4" s="67"/>
    </row>
    <row r="5" spans="1:7" s="68" customFormat="1" thickBot="1" x14ac:dyDescent="0.25">
      <c r="A5" s="228" t="s">
        <v>109</v>
      </c>
      <c r="B5" s="72">
        <v>-1</v>
      </c>
      <c r="C5" s="73">
        <v>-2</v>
      </c>
      <c r="D5" s="74" t="s">
        <v>110</v>
      </c>
      <c r="E5" s="67"/>
      <c r="F5" s="67"/>
      <c r="G5" s="67"/>
    </row>
    <row r="6" spans="1:7" s="68" customFormat="1" ht="13.5" thickTop="1" thickBot="1" x14ac:dyDescent="0.25">
      <c r="A6" s="228"/>
      <c r="B6" s="75" t="s">
        <v>146</v>
      </c>
      <c r="C6" s="76" t="s">
        <v>112</v>
      </c>
      <c r="D6" s="77" t="s">
        <v>113</v>
      </c>
      <c r="E6" s="78"/>
      <c r="F6" s="67"/>
      <c r="G6" s="67"/>
    </row>
    <row r="7" spans="1:7" s="68" customFormat="1" ht="13.5" thickTop="1" thickBot="1" x14ac:dyDescent="0.25">
      <c r="A7" s="228"/>
      <c r="B7" s="79" t="s">
        <v>114</v>
      </c>
      <c r="C7" s="80" t="s">
        <v>115</v>
      </c>
      <c r="D7" s="81" t="s">
        <v>116</v>
      </c>
      <c r="E7" s="67"/>
      <c r="F7" s="67"/>
      <c r="G7" s="67"/>
    </row>
    <row r="8" spans="1:7" s="68" customFormat="1" thickTop="1" x14ac:dyDescent="0.2">
      <c r="A8" s="231" t="s">
        <v>117</v>
      </c>
      <c r="B8" s="82">
        <v>1</v>
      </c>
      <c r="C8" s="83">
        <f>ENCARREGADO!D132</f>
        <v>4991.03</v>
      </c>
      <c r="D8" s="84">
        <f>(1/(30*1200))*C8</f>
        <v>0.13863972222222223</v>
      </c>
      <c r="E8" s="67"/>
      <c r="F8" s="67"/>
      <c r="G8" s="67"/>
    </row>
    <row r="9" spans="1:7" s="68" customFormat="1" ht="12" x14ac:dyDescent="0.2">
      <c r="A9" s="232"/>
      <c r="B9" s="85" t="s">
        <v>150</v>
      </c>
      <c r="C9" s="86"/>
      <c r="D9" s="87"/>
      <c r="E9" s="67"/>
      <c r="F9" s="67"/>
      <c r="G9" s="67"/>
    </row>
    <row r="10" spans="1:7" s="68" customFormat="1" thickBot="1" x14ac:dyDescent="0.25">
      <c r="A10" s="88" t="s">
        <v>118</v>
      </c>
      <c r="B10" s="89" t="s">
        <v>151</v>
      </c>
      <c r="C10" s="90">
        <f>'ASG INTERNA'!D132</f>
        <v>3970.3</v>
      </c>
      <c r="D10" s="84">
        <f>(1/1200)*C10</f>
        <v>3.3085833333333339</v>
      </c>
      <c r="E10" s="67"/>
      <c r="F10" s="67"/>
      <c r="G10" s="67"/>
    </row>
    <row r="11" spans="1:7" s="68" customFormat="1" thickBot="1" x14ac:dyDescent="0.25">
      <c r="A11" s="67"/>
      <c r="B11" s="67"/>
      <c r="C11" s="91" t="s">
        <v>119</v>
      </c>
      <c r="D11" s="92">
        <f>SUM(D8:D10)</f>
        <v>3.4472230555555563</v>
      </c>
      <c r="E11" s="67"/>
      <c r="F11" s="67"/>
      <c r="G11" s="67"/>
    </row>
    <row r="12" spans="1:7" s="68" customFormat="1" thickBot="1" x14ac:dyDescent="0.25">
      <c r="A12" s="67"/>
      <c r="B12" s="67"/>
      <c r="C12" s="154"/>
      <c r="D12" s="155"/>
      <c r="E12" s="67"/>
      <c r="F12" s="67"/>
      <c r="G12" s="67"/>
    </row>
    <row r="13" spans="1:7" s="68" customFormat="1" thickBot="1" x14ac:dyDescent="0.25">
      <c r="A13" s="69" t="s">
        <v>160</v>
      </c>
      <c r="B13" s="70"/>
      <c r="C13" s="71"/>
      <c r="D13" s="71"/>
      <c r="E13" s="67"/>
      <c r="F13" s="67"/>
      <c r="G13" s="67"/>
    </row>
    <row r="14" spans="1:7" s="68" customFormat="1" thickBot="1" x14ac:dyDescent="0.25">
      <c r="A14" s="228" t="s">
        <v>109</v>
      </c>
      <c r="B14" s="72">
        <v>-1</v>
      </c>
      <c r="C14" s="73">
        <v>-2</v>
      </c>
      <c r="D14" s="74" t="s">
        <v>110</v>
      </c>
      <c r="E14" s="67"/>
      <c r="F14" s="67"/>
      <c r="G14" s="67"/>
    </row>
    <row r="15" spans="1:7" s="68" customFormat="1" ht="13.5" thickTop="1" thickBot="1" x14ac:dyDescent="0.25">
      <c r="A15" s="228"/>
      <c r="B15" s="75" t="s">
        <v>146</v>
      </c>
      <c r="C15" s="76" t="s">
        <v>112</v>
      </c>
      <c r="D15" s="77" t="s">
        <v>113</v>
      </c>
      <c r="E15" s="67"/>
      <c r="F15" s="67"/>
      <c r="G15" s="67"/>
    </row>
    <row r="16" spans="1:7" s="68" customFormat="1" ht="13.5" thickTop="1" thickBot="1" x14ac:dyDescent="0.25">
      <c r="A16" s="228"/>
      <c r="B16" s="79" t="s">
        <v>114</v>
      </c>
      <c r="C16" s="80" t="s">
        <v>115</v>
      </c>
      <c r="D16" s="81" t="s">
        <v>116</v>
      </c>
      <c r="E16" s="67"/>
      <c r="F16" s="67"/>
      <c r="G16" s="67"/>
    </row>
    <row r="17" spans="1:7" s="68" customFormat="1" thickTop="1" x14ac:dyDescent="0.2">
      <c r="A17" s="231" t="s">
        <v>117</v>
      </c>
      <c r="B17" s="82">
        <v>1</v>
      </c>
      <c r="C17" s="83">
        <f>ENCARREGADO!D132</f>
        <v>4991.03</v>
      </c>
      <c r="D17" s="84">
        <f>(1/(30*2700))*C17</f>
        <v>6.1617654320987647E-2</v>
      </c>
      <c r="E17" s="67"/>
      <c r="F17" s="67"/>
      <c r="G17" s="67"/>
    </row>
    <row r="18" spans="1:7" s="68" customFormat="1" ht="12" x14ac:dyDescent="0.2">
      <c r="A18" s="232"/>
      <c r="B18" s="85" t="s">
        <v>182</v>
      </c>
      <c r="C18" s="86"/>
      <c r="D18" s="87"/>
      <c r="E18" s="67"/>
      <c r="F18" s="67"/>
      <c r="G18" s="67"/>
    </row>
    <row r="19" spans="1:7" s="68" customFormat="1" thickBot="1" x14ac:dyDescent="0.25">
      <c r="A19" s="88" t="s">
        <v>118</v>
      </c>
      <c r="B19" s="99" t="s">
        <v>183</v>
      </c>
      <c r="C19" s="90">
        <f>'ASG EXTERNA'!D132</f>
        <v>3970.15</v>
      </c>
      <c r="D19" s="84">
        <f>(1/2700)*C19</f>
        <v>1.4704259259259258</v>
      </c>
      <c r="E19" s="67"/>
      <c r="F19" s="67"/>
      <c r="G19" s="67"/>
    </row>
    <row r="20" spans="1:7" s="68" customFormat="1" thickBot="1" x14ac:dyDescent="0.25">
      <c r="A20" s="67"/>
      <c r="B20" s="67"/>
      <c r="C20" s="91" t="s">
        <v>119</v>
      </c>
      <c r="D20" s="92">
        <f>SUM(D17:D19)</f>
        <v>1.5320435802469135</v>
      </c>
      <c r="E20" s="67"/>
      <c r="F20" s="67"/>
      <c r="G20" s="67"/>
    </row>
    <row r="21" spans="1:7" s="68" customFormat="1" ht="12" x14ac:dyDescent="0.2">
      <c r="A21" s="67"/>
      <c r="B21" s="67"/>
      <c r="C21" s="93"/>
      <c r="D21" s="94"/>
      <c r="E21" s="67"/>
      <c r="F21" s="67"/>
      <c r="G21" s="67"/>
    </row>
    <row r="22" spans="1:7" s="68" customFormat="1" thickBot="1" x14ac:dyDescent="0.25">
      <c r="A22" s="234" t="s">
        <v>161</v>
      </c>
      <c r="B22" s="234"/>
      <c r="C22" s="71"/>
      <c r="D22" s="71"/>
      <c r="E22" s="67"/>
      <c r="F22" s="67"/>
      <c r="G22" s="67"/>
    </row>
    <row r="23" spans="1:7" s="68" customFormat="1" thickBot="1" x14ac:dyDescent="0.25">
      <c r="A23" s="228" t="s">
        <v>109</v>
      </c>
      <c r="B23" s="72">
        <v>-1</v>
      </c>
      <c r="C23" s="73">
        <v>-2</v>
      </c>
      <c r="D23" s="74" t="s">
        <v>110</v>
      </c>
      <c r="E23" s="67"/>
      <c r="F23" s="67"/>
      <c r="G23" s="67"/>
    </row>
    <row r="24" spans="1:7" s="68" customFormat="1" ht="13.5" thickTop="1" thickBot="1" x14ac:dyDescent="0.25">
      <c r="A24" s="228"/>
      <c r="B24" s="75" t="s">
        <v>111</v>
      </c>
      <c r="C24" s="76" t="s">
        <v>112</v>
      </c>
      <c r="D24" s="156" t="s">
        <v>113</v>
      </c>
      <c r="E24" s="162"/>
      <c r="F24" s="162"/>
      <c r="G24" s="93"/>
    </row>
    <row r="25" spans="1:7" s="68" customFormat="1" ht="13.5" thickTop="1" thickBot="1" x14ac:dyDescent="0.25">
      <c r="A25" s="228"/>
      <c r="B25" s="79" t="s">
        <v>114</v>
      </c>
      <c r="C25" s="80" t="s">
        <v>115</v>
      </c>
      <c r="D25" s="157" t="s">
        <v>116</v>
      </c>
      <c r="E25" s="93"/>
      <c r="F25" s="93"/>
      <c r="G25" s="93"/>
    </row>
    <row r="26" spans="1:7" s="68" customFormat="1" thickTop="1" x14ac:dyDescent="0.2">
      <c r="A26" s="95" t="s">
        <v>117</v>
      </c>
      <c r="B26" s="82">
        <v>1</v>
      </c>
      <c r="C26" s="96">
        <f>ENCARREGADO!D132</f>
        <v>4991.03</v>
      </c>
      <c r="D26" s="158">
        <f>(1/(30*450))*C26</f>
        <v>0.36970592592592588</v>
      </c>
      <c r="E26" s="93"/>
      <c r="F26" s="93"/>
      <c r="G26" s="93"/>
    </row>
    <row r="27" spans="1:7" s="68" customFormat="1" ht="12" x14ac:dyDescent="0.2">
      <c r="A27" s="97"/>
      <c r="B27" s="85" t="s">
        <v>184</v>
      </c>
      <c r="C27" s="86"/>
      <c r="D27" s="159"/>
      <c r="E27" s="93"/>
      <c r="F27" s="93"/>
      <c r="G27" s="93"/>
    </row>
    <row r="28" spans="1:7" s="68" customFormat="1" thickBot="1" x14ac:dyDescent="0.25">
      <c r="A28" s="88" t="s">
        <v>118</v>
      </c>
      <c r="B28" s="99" t="s">
        <v>185</v>
      </c>
      <c r="C28" s="100">
        <f>'ASG LABORATÓRIO'!D132</f>
        <v>5194.29</v>
      </c>
      <c r="D28" s="158">
        <f>(1/PRODUTIVIDADE!C4)*C28</f>
        <v>11.542866666666667</v>
      </c>
      <c r="E28" s="163"/>
      <c r="F28" s="164"/>
      <c r="G28" s="165"/>
    </row>
    <row r="29" spans="1:7" s="68" customFormat="1" thickBot="1" x14ac:dyDescent="0.25">
      <c r="A29" s="67"/>
      <c r="B29" s="67"/>
      <c r="C29" s="91" t="s">
        <v>119</v>
      </c>
      <c r="D29" s="160">
        <f>SUM(D26:D28)</f>
        <v>11.912572592592593</v>
      </c>
      <c r="E29" s="93"/>
      <c r="F29" s="93"/>
      <c r="G29" s="165"/>
    </row>
    <row r="30" spans="1:7" s="68" customFormat="1" ht="12" x14ac:dyDescent="0.2">
      <c r="A30" s="67"/>
      <c r="B30" s="67"/>
      <c r="C30" s="93"/>
      <c r="D30" s="94"/>
      <c r="E30" s="166"/>
      <c r="F30" s="164"/>
      <c r="G30" s="165"/>
    </row>
    <row r="31" spans="1:7" s="68" customFormat="1" ht="13.5" customHeight="1" thickBot="1" x14ac:dyDescent="0.25">
      <c r="A31" s="229" t="s">
        <v>121</v>
      </c>
      <c r="B31" s="230"/>
      <c r="C31" s="71"/>
      <c r="D31" s="71"/>
      <c r="E31" s="93"/>
      <c r="F31" s="93"/>
      <c r="G31" s="165"/>
    </row>
    <row r="32" spans="1:7" s="68" customFormat="1" thickBot="1" x14ac:dyDescent="0.25">
      <c r="A32" s="228" t="s">
        <v>109</v>
      </c>
      <c r="B32" s="72">
        <v>-1</v>
      </c>
      <c r="C32" s="73">
        <v>-2</v>
      </c>
      <c r="D32" s="161">
        <v>-3</v>
      </c>
      <c r="E32" s="72" t="s">
        <v>122</v>
      </c>
      <c r="F32" s="73">
        <v>-5</v>
      </c>
      <c r="G32" s="74" t="s">
        <v>123</v>
      </c>
    </row>
    <row r="33" spans="1:7" s="68" customFormat="1" ht="13.5" thickTop="1" thickBot="1" x14ac:dyDescent="0.25">
      <c r="A33" s="228"/>
      <c r="B33" s="75" t="s">
        <v>111</v>
      </c>
      <c r="C33" s="76" t="s">
        <v>124</v>
      </c>
      <c r="D33" s="77" t="s">
        <v>125</v>
      </c>
      <c r="E33" s="75"/>
      <c r="F33" s="76" t="s">
        <v>112</v>
      </c>
      <c r="G33" s="77" t="s">
        <v>113</v>
      </c>
    </row>
    <row r="34" spans="1:7" s="68" customFormat="1" ht="13.5" thickTop="1" thickBot="1" x14ac:dyDescent="0.25">
      <c r="A34" s="228"/>
      <c r="B34" s="75"/>
      <c r="C34" s="76" t="s">
        <v>126</v>
      </c>
      <c r="D34" s="77" t="s">
        <v>126</v>
      </c>
      <c r="E34" s="75" t="s">
        <v>127</v>
      </c>
      <c r="F34" s="76"/>
      <c r="G34" s="77"/>
    </row>
    <row r="35" spans="1:7" ht="14.25" thickTop="1" thickBot="1" x14ac:dyDescent="0.25">
      <c r="A35" s="228"/>
      <c r="B35" s="79" t="s">
        <v>114</v>
      </c>
      <c r="C35" s="80" t="s">
        <v>128</v>
      </c>
      <c r="D35" s="81" t="s">
        <v>128</v>
      </c>
      <c r="E35" s="79"/>
      <c r="F35" s="80" t="s">
        <v>115</v>
      </c>
      <c r="G35" s="81" t="s">
        <v>116</v>
      </c>
    </row>
    <row r="36" spans="1:7" ht="13.5" thickTop="1" x14ac:dyDescent="0.2">
      <c r="A36" s="95" t="s">
        <v>117</v>
      </c>
      <c r="B36" s="82">
        <v>1</v>
      </c>
      <c r="C36" s="101">
        <v>16</v>
      </c>
      <c r="D36" s="102">
        <v>1</v>
      </c>
      <c r="E36" s="103">
        <f>((1/(30*380)*16*(1/188.76)))</f>
        <v>7.4354141339787274E-6</v>
      </c>
      <c r="F36" s="96">
        <f>ENCARREGADO!D132</f>
        <v>4991.03</v>
      </c>
      <c r="G36" s="104">
        <f>E36*F36</f>
        <v>3.7110375005111849E-2</v>
      </c>
    </row>
    <row r="37" spans="1:7" ht="13.5" thickBot="1" x14ac:dyDescent="0.25">
      <c r="A37" s="97"/>
      <c r="B37" s="85" t="s">
        <v>129</v>
      </c>
      <c r="C37" s="86"/>
      <c r="D37" s="105">
        <v>188.76</v>
      </c>
      <c r="E37" s="106"/>
      <c r="F37" s="86"/>
      <c r="G37" s="98"/>
    </row>
    <row r="38" spans="1:7" ht="13.5" thickTop="1" x14ac:dyDescent="0.2">
      <c r="A38" s="107" t="s">
        <v>118</v>
      </c>
      <c r="B38" s="108">
        <v>1</v>
      </c>
      <c r="C38" s="109">
        <v>16</v>
      </c>
      <c r="D38" s="110">
        <v>1</v>
      </c>
      <c r="E38" s="111">
        <f>(1/380)*16*(1/188.76)</f>
        <v>2.2306242401936183E-4</v>
      </c>
      <c r="F38" s="100">
        <f>'ASG INTERNA'!D132</f>
        <v>3970.3</v>
      </c>
      <c r="G38" s="84">
        <f>E38*F38</f>
        <v>0.88562474208407227</v>
      </c>
    </row>
    <row r="39" spans="1:7" ht="13.5" thickBot="1" x14ac:dyDescent="0.25">
      <c r="A39" s="88"/>
      <c r="B39" s="89">
        <v>380</v>
      </c>
      <c r="C39" s="112"/>
      <c r="D39" s="113">
        <v>188.76</v>
      </c>
      <c r="E39" s="114"/>
      <c r="F39" s="115"/>
      <c r="G39" s="98"/>
    </row>
    <row r="40" spans="1:7" ht="13.5" thickBot="1" x14ac:dyDescent="0.25">
      <c r="A40" s="67"/>
      <c r="B40" s="67"/>
      <c r="C40" s="116"/>
      <c r="D40" s="117"/>
      <c r="E40" s="67"/>
      <c r="F40" s="118" t="s">
        <v>27</v>
      </c>
      <c r="G40" s="119">
        <f>SUM(G36:G38)</f>
        <v>0.9227351170891841</v>
      </c>
    </row>
  </sheetData>
  <mergeCells count="9">
    <mergeCell ref="A32:A35"/>
    <mergeCell ref="A31:B31"/>
    <mergeCell ref="A14:A16"/>
    <mergeCell ref="A17:A18"/>
    <mergeCell ref="A2:D2"/>
    <mergeCell ref="A5:A7"/>
    <mergeCell ref="A8:A9"/>
    <mergeCell ref="A22:B22"/>
    <mergeCell ref="A23:A25"/>
  </mergeCells>
  <pageMargins left="0.511811024" right="0.511811024" top="0.78740157499999996" bottom="0.78740157499999996" header="0.31496062000000002" footer="0.31496062000000002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24"/>
  <sheetViews>
    <sheetView tabSelected="1" view="pageBreakPreview" topLeftCell="A95" zoomScaleNormal="100" zoomScaleSheetLayoutView="100" workbookViewId="0">
      <selection activeCell="H101" sqref="H101"/>
    </sheetView>
  </sheetViews>
  <sheetFormatPr defaultRowHeight="12.75" x14ac:dyDescent="0.2"/>
  <cols>
    <col min="1" max="1" width="36.42578125" customWidth="1"/>
    <col min="2" max="2" width="13.5703125" customWidth="1"/>
    <col min="3" max="3" width="19.42578125" customWidth="1"/>
    <col min="4" max="4" width="9.28515625" bestFit="1" customWidth="1"/>
    <col min="5" max="5" width="19.42578125" customWidth="1"/>
    <col min="6" max="7" width="13.7109375" bestFit="1" customWidth="1"/>
    <col min="8" max="8" width="12.42578125" bestFit="1" customWidth="1"/>
    <col min="9" max="9" width="14.7109375" bestFit="1" customWidth="1"/>
    <col min="10" max="10" width="15" bestFit="1" customWidth="1"/>
    <col min="11" max="11" width="14.85546875" bestFit="1" customWidth="1"/>
    <col min="12" max="12" width="18.42578125" bestFit="1" customWidth="1"/>
  </cols>
  <sheetData>
    <row r="1" spans="1:6" ht="12.75" customHeight="1" x14ac:dyDescent="0.2">
      <c r="A1" s="257" t="s">
        <v>187</v>
      </c>
      <c r="B1" s="257"/>
      <c r="C1" s="257"/>
      <c r="D1" s="257"/>
      <c r="E1" s="258"/>
    </row>
    <row r="2" spans="1:6" ht="12.75" customHeight="1" x14ac:dyDescent="0.2">
      <c r="A2" s="262" t="s">
        <v>130</v>
      </c>
      <c r="B2" s="265" t="s">
        <v>131</v>
      </c>
      <c r="C2" s="178">
        <v>-1</v>
      </c>
      <c r="D2" s="178">
        <v>-2</v>
      </c>
      <c r="E2" s="179" t="s">
        <v>110</v>
      </c>
    </row>
    <row r="3" spans="1:6" ht="45" customHeight="1" x14ac:dyDescent="0.2">
      <c r="A3" s="263"/>
      <c r="B3" s="265"/>
      <c r="C3" s="177" t="s">
        <v>132</v>
      </c>
      <c r="D3" s="179" t="s">
        <v>133</v>
      </c>
      <c r="E3" s="179" t="s">
        <v>113</v>
      </c>
    </row>
    <row r="4" spans="1:6" ht="9" customHeight="1" x14ac:dyDescent="0.2">
      <c r="A4" s="264"/>
      <c r="B4" s="265"/>
      <c r="C4" s="179" t="s">
        <v>134</v>
      </c>
      <c r="D4" s="179" t="s">
        <v>135</v>
      </c>
      <c r="E4" s="179" t="s">
        <v>115</v>
      </c>
    </row>
    <row r="5" spans="1:6" ht="12.75" customHeight="1" x14ac:dyDescent="0.2">
      <c r="A5" s="266" t="s">
        <v>189</v>
      </c>
      <c r="B5" s="266"/>
      <c r="C5" s="266"/>
      <c r="D5" s="266"/>
      <c r="E5" s="266"/>
      <c r="F5" s="63"/>
    </row>
    <row r="6" spans="1:6" ht="12.75" customHeight="1" x14ac:dyDescent="0.2">
      <c r="A6" s="170" t="s">
        <v>136</v>
      </c>
      <c r="B6" s="169">
        <f>D6/1200</f>
        <v>0.35246666666666665</v>
      </c>
      <c r="C6" s="171">
        <f>'M2'!D11</f>
        <v>3.4472230555555563</v>
      </c>
      <c r="D6" s="172">
        <v>422.96</v>
      </c>
      <c r="E6" s="171">
        <f>C6*D6</f>
        <v>1458.037463577778</v>
      </c>
      <c r="F6" s="63"/>
    </row>
    <row r="7" spans="1:6" ht="12.75" customHeight="1" x14ac:dyDescent="0.2">
      <c r="A7" s="170" t="s">
        <v>120</v>
      </c>
      <c r="B7" s="169">
        <f>D7/2700</f>
        <v>2.0496296296296297E-2</v>
      </c>
      <c r="C7" s="171">
        <f>'M2'!D20</f>
        <v>1.5320435802469135</v>
      </c>
      <c r="D7" s="172">
        <v>55.34</v>
      </c>
      <c r="E7" s="171">
        <f>C7*D7</f>
        <v>84.783291730864192</v>
      </c>
      <c r="F7" s="63"/>
    </row>
    <row r="8" spans="1:6" ht="12.75" customHeight="1" x14ac:dyDescent="0.2">
      <c r="A8" s="170" t="s">
        <v>190</v>
      </c>
      <c r="B8" s="169">
        <f>D8/450</f>
        <v>1.5196444444444446</v>
      </c>
      <c r="C8" s="171">
        <f>'M2'!D29</f>
        <v>11.912572592592593</v>
      </c>
      <c r="D8" s="172">
        <v>683.84</v>
      </c>
      <c r="E8" s="171">
        <f>C8*D8</f>
        <v>8146.2936417185192</v>
      </c>
      <c r="F8" s="63"/>
    </row>
    <row r="9" spans="1:6" ht="12.75" customHeight="1" x14ac:dyDescent="0.2">
      <c r="A9" s="170" t="s">
        <v>186</v>
      </c>
      <c r="B9" s="169">
        <f>D9/380/15</f>
        <v>1.2968421052631579E-2</v>
      </c>
      <c r="C9" s="171">
        <f>'M2'!G40</f>
        <v>0.9227351170891841</v>
      </c>
      <c r="D9" s="172">
        <v>73.92</v>
      </c>
      <c r="E9" s="171">
        <f>C9*D9</f>
        <v>68.208579855232486</v>
      </c>
      <c r="F9" s="63"/>
    </row>
    <row r="10" spans="1:6" ht="12.75" customHeight="1" x14ac:dyDescent="0.2">
      <c r="A10" s="255" t="s">
        <v>195</v>
      </c>
      <c r="B10" s="255"/>
      <c r="C10" s="255"/>
      <c r="D10" s="256">
        <f>SUM(E6:E9)</f>
        <v>9757.3229768823949</v>
      </c>
      <c r="E10" s="256"/>
      <c r="F10" s="63"/>
    </row>
    <row r="11" spans="1:6" ht="12.75" customHeight="1" x14ac:dyDescent="0.2">
      <c r="A11" s="235" t="s">
        <v>191</v>
      </c>
      <c r="B11" s="236"/>
      <c r="C11" s="236"/>
      <c r="D11" s="236"/>
      <c r="E11" s="237"/>
      <c r="F11" s="63"/>
    </row>
    <row r="12" spans="1:6" ht="12.75" customHeight="1" x14ac:dyDescent="0.2">
      <c r="A12" s="173" t="s">
        <v>136</v>
      </c>
      <c r="B12" s="174">
        <f>D12/1200</f>
        <v>0.81522499999999998</v>
      </c>
      <c r="C12" s="175">
        <f>'M2'!D11</f>
        <v>3.4472230555555563</v>
      </c>
      <c r="D12" s="176">
        <v>978.27</v>
      </c>
      <c r="E12" s="175">
        <f>C12*D12</f>
        <v>3372.3148985583339</v>
      </c>
      <c r="F12" s="63"/>
    </row>
    <row r="13" spans="1:6" ht="12.75" customHeight="1" x14ac:dyDescent="0.2">
      <c r="A13" s="173" t="s">
        <v>120</v>
      </c>
      <c r="B13" s="174">
        <f>D13/2700</f>
        <v>1.8114814814814813E-2</v>
      </c>
      <c r="C13" s="175">
        <f>'M2'!D20</f>
        <v>1.5320435802469135</v>
      </c>
      <c r="D13" s="176">
        <v>48.91</v>
      </c>
      <c r="E13" s="175">
        <f>C13*D13</f>
        <v>74.932251509876536</v>
      </c>
      <c r="F13" s="63"/>
    </row>
    <row r="14" spans="1:6" ht="12.75" customHeight="1" x14ac:dyDescent="0.2">
      <c r="A14" s="173" t="s">
        <v>190</v>
      </c>
      <c r="B14" s="174">
        <f>D14/450</f>
        <v>0</v>
      </c>
      <c r="C14" s="175">
        <f>'M2'!D29</f>
        <v>11.912572592592593</v>
      </c>
      <c r="D14" s="176">
        <v>0</v>
      </c>
      <c r="E14" s="175">
        <f>C14*D14</f>
        <v>0</v>
      </c>
      <c r="F14" s="63"/>
    </row>
    <row r="15" spans="1:6" ht="12.75" customHeight="1" x14ac:dyDescent="0.2">
      <c r="A15" s="173" t="s">
        <v>186</v>
      </c>
      <c r="B15" s="174">
        <f>D15/380/15</f>
        <v>4.9724561403508775E-2</v>
      </c>
      <c r="C15" s="175">
        <f>'M2'!G40</f>
        <v>0.9227351170891841</v>
      </c>
      <c r="D15" s="176">
        <v>283.43</v>
      </c>
      <c r="E15" s="175">
        <f>C15*D15</f>
        <v>261.53081423658745</v>
      </c>
      <c r="F15" s="63"/>
    </row>
    <row r="16" spans="1:6" ht="12.75" customHeight="1" x14ac:dyDescent="0.2">
      <c r="A16" s="253" t="s">
        <v>196</v>
      </c>
      <c r="B16" s="253"/>
      <c r="C16" s="253"/>
      <c r="D16" s="254">
        <f>SUM(E12:E15)</f>
        <v>3708.7779643047979</v>
      </c>
      <c r="E16" s="254"/>
      <c r="F16" s="63"/>
    </row>
    <row r="17" spans="1:6" ht="12.75" customHeight="1" x14ac:dyDescent="0.2">
      <c r="A17" s="245" t="s">
        <v>192</v>
      </c>
      <c r="B17" s="246"/>
      <c r="C17" s="246"/>
      <c r="D17" s="246"/>
      <c r="E17" s="247"/>
      <c r="F17" s="63"/>
    </row>
    <row r="18" spans="1:6" ht="12.75" customHeight="1" x14ac:dyDescent="0.2">
      <c r="A18" s="170" t="s">
        <v>136</v>
      </c>
      <c r="B18" s="169">
        <f>D18/1200</f>
        <v>0.4140833333333333</v>
      </c>
      <c r="C18" s="171">
        <f>'M2'!D11</f>
        <v>3.4472230555555563</v>
      </c>
      <c r="D18" s="172">
        <v>496.9</v>
      </c>
      <c r="E18" s="171">
        <f>C18*D18</f>
        <v>1712.925136305556</v>
      </c>
      <c r="F18" s="63"/>
    </row>
    <row r="19" spans="1:6" ht="12.75" customHeight="1" x14ac:dyDescent="0.2">
      <c r="A19" s="170" t="s">
        <v>120</v>
      </c>
      <c r="B19" s="169">
        <f>D19/2700</f>
        <v>9.2037037037037035E-3</v>
      </c>
      <c r="C19" s="171">
        <f>'M2'!D20</f>
        <v>1.5320435802469135</v>
      </c>
      <c r="D19" s="172">
        <v>24.85</v>
      </c>
      <c r="E19" s="171">
        <f>C19*D19</f>
        <v>38.071282969135801</v>
      </c>
      <c r="F19" s="63"/>
    </row>
    <row r="20" spans="1:6" ht="12.75" customHeight="1" x14ac:dyDescent="0.2">
      <c r="A20" s="170" t="s">
        <v>190</v>
      </c>
      <c r="B20" s="169">
        <f>D20/450</f>
        <v>0</v>
      </c>
      <c r="C20" s="171">
        <f>'M2'!D29</f>
        <v>11.912572592592593</v>
      </c>
      <c r="D20" s="172">
        <v>0</v>
      </c>
      <c r="E20" s="171">
        <f>C20*D20</f>
        <v>0</v>
      </c>
      <c r="F20" s="63"/>
    </row>
    <row r="21" spans="1:6" ht="12.75" customHeight="1" x14ac:dyDescent="0.2">
      <c r="A21" s="170" t="s">
        <v>186</v>
      </c>
      <c r="B21" s="169">
        <f>D21/380/15</f>
        <v>1.2256140350877192E-2</v>
      </c>
      <c r="C21" s="171">
        <f>'M2'!G40</f>
        <v>0.9227351170891841</v>
      </c>
      <c r="D21" s="172">
        <v>69.86</v>
      </c>
      <c r="E21" s="171">
        <f>C21*D21</f>
        <v>64.462275279850402</v>
      </c>
      <c r="F21" s="63"/>
    </row>
    <row r="22" spans="1:6" ht="12.75" customHeight="1" x14ac:dyDescent="0.2">
      <c r="A22" s="255" t="s">
        <v>197</v>
      </c>
      <c r="B22" s="255"/>
      <c r="C22" s="255"/>
      <c r="D22" s="256">
        <f>SUM(E18:E21)</f>
        <v>1815.4586945545423</v>
      </c>
      <c r="E22" s="256"/>
      <c r="F22" s="63"/>
    </row>
    <row r="23" spans="1:6" ht="12.75" customHeight="1" x14ac:dyDescent="0.2">
      <c r="A23" s="235" t="s">
        <v>193</v>
      </c>
      <c r="B23" s="236"/>
      <c r="C23" s="236"/>
      <c r="D23" s="236"/>
      <c r="E23" s="237"/>
      <c r="F23" s="63"/>
    </row>
    <row r="24" spans="1:6" ht="12.75" customHeight="1" x14ac:dyDescent="0.2">
      <c r="A24" s="173" t="s">
        <v>136</v>
      </c>
      <c r="B24" s="174">
        <f>D24/1200</f>
        <v>0.87786666666666668</v>
      </c>
      <c r="C24" s="175">
        <f>'M2'!D11</f>
        <v>3.4472230555555563</v>
      </c>
      <c r="D24" s="176">
        <v>1053.44</v>
      </c>
      <c r="E24" s="175">
        <f>C24*D24</f>
        <v>3631.4426556444455</v>
      </c>
      <c r="F24" s="63"/>
    </row>
    <row r="25" spans="1:6" ht="12.75" customHeight="1" x14ac:dyDescent="0.2">
      <c r="A25" s="173" t="s">
        <v>120</v>
      </c>
      <c r="B25" s="174">
        <f>D25/2700</f>
        <v>1.9507407407407407E-2</v>
      </c>
      <c r="C25" s="175">
        <f>'M2'!D20</f>
        <v>1.5320435802469135</v>
      </c>
      <c r="D25" s="176">
        <v>52.67</v>
      </c>
      <c r="E25" s="175">
        <f>C25*D25</f>
        <v>80.69273537160494</v>
      </c>
      <c r="F25" s="63"/>
    </row>
    <row r="26" spans="1:6" ht="12.75" customHeight="1" x14ac:dyDescent="0.2">
      <c r="A26" s="173" t="s">
        <v>190</v>
      </c>
      <c r="B26" s="174">
        <f>D26/450</f>
        <v>0</v>
      </c>
      <c r="C26" s="175">
        <f>'M2'!D29</f>
        <v>11.912572592592593</v>
      </c>
      <c r="D26" s="176">
        <v>0</v>
      </c>
      <c r="E26" s="175">
        <f>C26*D26</f>
        <v>0</v>
      </c>
      <c r="F26" s="63"/>
    </row>
    <row r="27" spans="1:6" ht="12.75" customHeight="1" x14ac:dyDescent="0.2">
      <c r="A27" s="173" t="s">
        <v>186</v>
      </c>
      <c r="B27" s="174">
        <f>D27/380/15</f>
        <v>2.3303508771929826E-2</v>
      </c>
      <c r="C27" s="175">
        <f>'M2'!G40</f>
        <v>0.9227351170891841</v>
      </c>
      <c r="D27" s="176">
        <v>132.83000000000001</v>
      </c>
      <c r="E27" s="175">
        <f>C27*D27</f>
        <v>122.56690560295634</v>
      </c>
      <c r="F27" s="63"/>
    </row>
    <row r="28" spans="1:6" ht="12.75" customHeight="1" x14ac:dyDescent="0.2">
      <c r="A28" s="253" t="s">
        <v>198</v>
      </c>
      <c r="B28" s="253"/>
      <c r="C28" s="253"/>
      <c r="D28" s="254">
        <f>SUM(E24:E27)</f>
        <v>3834.702296619007</v>
      </c>
      <c r="E28" s="254"/>
      <c r="F28" s="63"/>
    </row>
    <row r="29" spans="1:6" ht="12.75" customHeight="1" x14ac:dyDescent="0.2">
      <c r="A29" s="245" t="s">
        <v>194</v>
      </c>
      <c r="B29" s="246"/>
      <c r="C29" s="246"/>
      <c r="D29" s="246"/>
      <c r="E29" s="247"/>
      <c r="F29" s="63"/>
    </row>
    <row r="30" spans="1:6" ht="12.75" customHeight="1" x14ac:dyDescent="0.2">
      <c r="A30" s="170" t="s">
        <v>136</v>
      </c>
      <c r="B30" s="169">
        <f>D30/1200</f>
        <v>0.68877500000000003</v>
      </c>
      <c r="C30" s="171">
        <f>'M2'!D11</f>
        <v>3.4472230555555563</v>
      </c>
      <c r="D30" s="172">
        <v>826.53</v>
      </c>
      <c r="E30" s="171">
        <f>C30*D30</f>
        <v>2849.2332721083339</v>
      </c>
      <c r="F30" s="63"/>
    </row>
    <row r="31" spans="1:6" ht="12.75" customHeight="1" x14ac:dyDescent="0.2">
      <c r="A31" s="170" t="s">
        <v>120</v>
      </c>
      <c r="B31" s="169">
        <f>D31/2700</f>
        <v>1.5307407407407407E-2</v>
      </c>
      <c r="C31" s="171">
        <f>'M2'!D20</f>
        <v>1.5320435802469135</v>
      </c>
      <c r="D31" s="172">
        <v>41.33</v>
      </c>
      <c r="E31" s="171">
        <f>C31*D31</f>
        <v>63.319361171604932</v>
      </c>
      <c r="F31" s="63"/>
    </row>
    <row r="32" spans="1:6" ht="12.75" customHeight="1" x14ac:dyDescent="0.2">
      <c r="A32" s="170" t="s">
        <v>190</v>
      </c>
      <c r="B32" s="169">
        <f>D32/450</f>
        <v>0</v>
      </c>
      <c r="C32" s="171">
        <f>'M2'!D29</f>
        <v>11.912572592592593</v>
      </c>
      <c r="D32" s="172">
        <v>0</v>
      </c>
      <c r="E32" s="171">
        <f>C32*D32</f>
        <v>0</v>
      </c>
      <c r="F32" s="63"/>
    </row>
    <row r="33" spans="1:6" ht="12.75" customHeight="1" x14ac:dyDescent="0.2">
      <c r="A33" s="170" t="s">
        <v>186</v>
      </c>
      <c r="B33" s="169">
        <f>D33/380/15</f>
        <v>1.0561403508771931E-2</v>
      </c>
      <c r="C33" s="171">
        <f>'M2'!G40</f>
        <v>0.9227351170891841</v>
      </c>
      <c r="D33" s="172">
        <v>60.2</v>
      </c>
      <c r="E33" s="171">
        <f>C33*D33</f>
        <v>55.548654048768888</v>
      </c>
      <c r="F33" s="63"/>
    </row>
    <row r="34" spans="1:6" ht="12.75" customHeight="1" x14ac:dyDescent="0.2">
      <c r="A34" s="255" t="s">
        <v>199</v>
      </c>
      <c r="B34" s="255"/>
      <c r="C34" s="255"/>
      <c r="D34" s="256">
        <f>SUM(E30:E33)</f>
        <v>2968.1012873287082</v>
      </c>
      <c r="E34" s="256"/>
      <c r="F34" s="63"/>
    </row>
    <row r="35" spans="1:6" ht="12.75" customHeight="1" x14ac:dyDescent="0.2">
      <c r="A35" s="235" t="s">
        <v>200</v>
      </c>
      <c r="B35" s="236"/>
      <c r="C35" s="236"/>
      <c r="D35" s="236"/>
      <c r="E35" s="237"/>
      <c r="F35" s="63"/>
    </row>
    <row r="36" spans="1:6" ht="12.75" customHeight="1" x14ac:dyDescent="0.2">
      <c r="A36" s="173" t="s">
        <v>136</v>
      </c>
      <c r="B36" s="174">
        <f>D36/1200</f>
        <v>0.83313333333333328</v>
      </c>
      <c r="C36" s="175">
        <f>'M2'!D11</f>
        <v>3.4472230555555563</v>
      </c>
      <c r="D36" s="176">
        <v>999.76</v>
      </c>
      <c r="E36" s="175">
        <f>C36*D36</f>
        <v>3446.3957220222228</v>
      </c>
      <c r="F36" s="63"/>
    </row>
    <row r="37" spans="1:6" ht="12.75" customHeight="1" x14ac:dyDescent="0.2">
      <c r="A37" s="173" t="s">
        <v>120</v>
      </c>
      <c r="B37" s="174">
        <f>D37/2700</f>
        <v>1.8514814814814817E-2</v>
      </c>
      <c r="C37" s="175">
        <f>'M2'!D20</f>
        <v>1.5320435802469135</v>
      </c>
      <c r="D37" s="176">
        <v>49.99</v>
      </c>
      <c r="E37" s="175">
        <f>C37*D37</f>
        <v>76.586858576543207</v>
      </c>
      <c r="F37" s="63"/>
    </row>
    <row r="38" spans="1:6" ht="12.75" customHeight="1" x14ac:dyDescent="0.2">
      <c r="A38" s="173" t="s">
        <v>190</v>
      </c>
      <c r="B38" s="174">
        <f>D38/450</f>
        <v>0</v>
      </c>
      <c r="C38" s="175">
        <f>'M2'!D29</f>
        <v>11.912572592592593</v>
      </c>
      <c r="D38" s="176">
        <v>0</v>
      </c>
      <c r="E38" s="175">
        <f>C38*D38</f>
        <v>0</v>
      </c>
      <c r="F38" s="63"/>
    </row>
    <row r="39" spans="1:6" ht="12.75" customHeight="1" x14ac:dyDescent="0.2">
      <c r="A39" s="173" t="s">
        <v>186</v>
      </c>
      <c r="B39" s="174">
        <f>D39/380/15</f>
        <v>7.9408771929824568E-2</v>
      </c>
      <c r="C39" s="175">
        <f>'M2'!G40</f>
        <v>0.9227351170891841</v>
      </c>
      <c r="D39" s="176">
        <v>452.63</v>
      </c>
      <c r="E39" s="175">
        <f>C39*D39</f>
        <v>417.65759604807738</v>
      </c>
      <c r="F39" s="63"/>
    </row>
    <row r="40" spans="1:6" ht="12.75" customHeight="1" x14ac:dyDescent="0.2">
      <c r="A40" s="253" t="s">
        <v>201</v>
      </c>
      <c r="B40" s="253"/>
      <c r="C40" s="253"/>
      <c r="D40" s="254">
        <f>SUM(E36:E39)</f>
        <v>3940.6401766468434</v>
      </c>
      <c r="E40" s="254"/>
      <c r="F40" s="63"/>
    </row>
    <row r="41" spans="1:6" ht="12.75" customHeight="1" x14ac:dyDescent="0.2">
      <c r="A41" s="245" t="s">
        <v>202</v>
      </c>
      <c r="B41" s="246"/>
      <c r="C41" s="246"/>
      <c r="D41" s="246"/>
      <c r="E41" s="247"/>
      <c r="F41" s="63"/>
    </row>
    <row r="42" spans="1:6" ht="12.75" customHeight="1" x14ac:dyDescent="0.2">
      <c r="A42" s="170" t="s">
        <v>136</v>
      </c>
      <c r="B42" s="169">
        <f>D42/1200</f>
        <v>0.636575</v>
      </c>
      <c r="C42" s="171">
        <f>'M2'!D11</f>
        <v>3.4472230555555563</v>
      </c>
      <c r="D42" s="172">
        <v>763.89</v>
      </c>
      <c r="E42" s="171">
        <f>C42*D42</f>
        <v>2633.2992199083337</v>
      </c>
      <c r="F42" s="63"/>
    </row>
    <row r="43" spans="1:6" ht="12.75" customHeight="1" x14ac:dyDescent="0.2">
      <c r="A43" s="170" t="s">
        <v>120</v>
      </c>
      <c r="B43" s="169">
        <f>D43/2700</f>
        <v>1.4144444444444444E-2</v>
      </c>
      <c r="C43" s="171">
        <f>'M2'!D20</f>
        <v>1.5320435802469135</v>
      </c>
      <c r="D43" s="172">
        <v>38.19</v>
      </c>
      <c r="E43" s="171">
        <f>C43*D43</f>
        <v>58.508744329629621</v>
      </c>
      <c r="F43" s="63"/>
    </row>
    <row r="44" spans="1:6" ht="12.75" customHeight="1" x14ac:dyDescent="0.2">
      <c r="A44" s="170" t="s">
        <v>190</v>
      </c>
      <c r="B44" s="169">
        <f>D44/450</f>
        <v>0</v>
      </c>
      <c r="C44" s="171">
        <f>'M2'!D29</f>
        <v>11.912572592592593</v>
      </c>
      <c r="D44" s="172">
        <v>0</v>
      </c>
      <c r="E44" s="171">
        <f>C44*D44</f>
        <v>0</v>
      </c>
      <c r="F44" s="63"/>
    </row>
    <row r="45" spans="1:6" ht="12.75" customHeight="1" x14ac:dyDescent="0.2">
      <c r="A45" s="170" t="s">
        <v>186</v>
      </c>
      <c r="B45" s="169">
        <f>D45/380/15</f>
        <v>4.267017543859649E-2</v>
      </c>
      <c r="C45" s="171">
        <f>'M2'!G40</f>
        <v>0.9227351170891841</v>
      </c>
      <c r="D45" s="172">
        <v>243.22</v>
      </c>
      <c r="E45" s="171">
        <f>C45*D45</f>
        <v>224.42763517843136</v>
      </c>
      <c r="F45" s="63"/>
    </row>
    <row r="46" spans="1:6" ht="12.75" customHeight="1" x14ac:dyDescent="0.2">
      <c r="A46" s="248" t="s">
        <v>203</v>
      </c>
      <c r="B46" s="249"/>
      <c r="C46" s="250"/>
      <c r="D46" s="251">
        <f>SUM(E42:E45)</f>
        <v>2916.235599416395</v>
      </c>
      <c r="E46" s="252"/>
      <c r="F46" s="63"/>
    </row>
    <row r="47" spans="1:6" ht="12.75" customHeight="1" x14ac:dyDescent="0.2">
      <c r="A47" s="235" t="s">
        <v>204</v>
      </c>
      <c r="B47" s="236"/>
      <c r="C47" s="236"/>
      <c r="D47" s="236"/>
      <c r="E47" s="237"/>
      <c r="F47" s="63"/>
    </row>
    <row r="48" spans="1:6" ht="12.75" customHeight="1" x14ac:dyDescent="0.2">
      <c r="A48" s="173" t="s">
        <v>136</v>
      </c>
      <c r="B48" s="174">
        <f>D48/1200</f>
        <v>0.37410833333333332</v>
      </c>
      <c r="C48" s="175">
        <f>'M2'!D11</f>
        <v>3.4472230555555563</v>
      </c>
      <c r="D48" s="176">
        <v>448.93</v>
      </c>
      <c r="E48" s="175">
        <f>C48*D48</f>
        <v>1547.5618463305559</v>
      </c>
      <c r="F48" s="63"/>
    </row>
    <row r="49" spans="1:6" ht="12.75" customHeight="1" x14ac:dyDescent="0.2">
      <c r="A49" s="173" t="s">
        <v>120</v>
      </c>
      <c r="B49" s="174">
        <f>D49/2700</f>
        <v>8.3148148148148148E-3</v>
      </c>
      <c r="C49" s="175">
        <f>'M2'!D20</f>
        <v>1.5320435802469135</v>
      </c>
      <c r="D49" s="176">
        <v>22.45</v>
      </c>
      <c r="E49" s="175">
        <f>C49*D49</f>
        <v>34.394378376543209</v>
      </c>
      <c r="F49" s="63"/>
    </row>
    <row r="50" spans="1:6" ht="12.75" customHeight="1" x14ac:dyDescent="0.2">
      <c r="A50" s="173" t="s">
        <v>190</v>
      </c>
      <c r="B50" s="174">
        <f>D50/450</f>
        <v>0</v>
      </c>
      <c r="C50" s="175">
        <f>'M2'!D29</f>
        <v>11.912572592592593</v>
      </c>
      <c r="D50" s="176">
        <v>0</v>
      </c>
      <c r="E50" s="175">
        <f>C50*D50</f>
        <v>0</v>
      </c>
      <c r="F50" s="63"/>
    </row>
    <row r="51" spans="1:6" ht="12.75" customHeight="1" x14ac:dyDescent="0.2">
      <c r="A51" s="173" t="s">
        <v>186</v>
      </c>
      <c r="B51" s="174">
        <f>D51/380/15</f>
        <v>2.5936842105263157E-2</v>
      </c>
      <c r="C51" s="175">
        <f>'M2'!G40</f>
        <v>0.9227351170891841</v>
      </c>
      <c r="D51" s="176">
        <v>147.84</v>
      </c>
      <c r="E51" s="175">
        <f>C51*D51</f>
        <v>136.41715971046497</v>
      </c>
      <c r="F51" s="63"/>
    </row>
    <row r="52" spans="1:6" ht="12.75" customHeight="1" x14ac:dyDescent="0.2">
      <c r="A52" s="238" t="s">
        <v>205</v>
      </c>
      <c r="B52" s="239"/>
      <c r="C52" s="240"/>
      <c r="D52" s="241">
        <f>SUM(E48:E51)</f>
        <v>1718.3733844175642</v>
      </c>
      <c r="E52" s="242"/>
      <c r="F52" s="63"/>
    </row>
    <row r="53" spans="1:6" ht="12.75" customHeight="1" x14ac:dyDescent="0.2">
      <c r="A53" s="245" t="s">
        <v>206</v>
      </c>
      <c r="B53" s="246"/>
      <c r="C53" s="246"/>
      <c r="D53" s="246"/>
      <c r="E53" s="247"/>
      <c r="F53" s="63"/>
    </row>
    <row r="54" spans="1:6" ht="12.75" customHeight="1" x14ac:dyDescent="0.2">
      <c r="A54" s="170" t="s">
        <v>136</v>
      </c>
      <c r="B54" s="169">
        <f>D54/1200</f>
        <v>0.90870000000000006</v>
      </c>
      <c r="C54" s="171">
        <f>'M2'!D11</f>
        <v>3.4472230555555563</v>
      </c>
      <c r="D54" s="172">
        <v>1090.44</v>
      </c>
      <c r="E54" s="171">
        <f>C54*D54</f>
        <v>3758.9899087000008</v>
      </c>
      <c r="F54" s="63"/>
    </row>
    <row r="55" spans="1:6" ht="12.75" customHeight="1" x14ac:dyDescent="0.2">
      <c r="A55" s="170" t="s">
        <v>120</v>
      </c>
      <c r="B55" s="169">
        <f>D55/2700</f>
        <v>2.0192592592592595E-2</v>
      </c>
      <c r="C55" s="171">
        <f>'M2'!D20</f>
        <v>1.5320435802469135</v>
      </c>
      <c r="D55" s="172">
        <v>54.52</v>
      </c>
      <c r="E55" s="171">
        <f>C55*D55</f>
        <v>83.527015995061731</v>
      </c>
      <c r="F55" s="63"/>
    </row>
    <row r="56" spans="1:6" ht="12.75" customHeight="1" x14ac:dyDescent="0.2">
      <c r="A56" s="170" t="s">
        <v>190</v>
      </c>
      <c r="B56" s="169">
        <f>D56/450</f>
        <v>0</v>
      </c>
      <c r="C56" s="171">
        <f>'M2'!D29</f>
        <v>11.912572592592593</v>
      </c>
      <c r="D56" s="172">
        <v>0</v>
      </c>
      <c r="E56" s="171">
        <f>C56*D56</f>
        <v>0</v>
      </c>
      <c r="F56" s="63"/>
    </row>
    <row r="57" spans="1:6" ht="12.75" customHeight="1" x14ac:dyDescent="0.2">
      <c r="A57" s="170" t="s">
        <v>186</v>
      </c>
      <c r="B57" s="169">
        <f>D57/380/15</f>
        <v>5.3733333333333327E-2</v>
      </c>
      <c r="C57" s="171">
        <f>'M2'!G40</f>
        <v>0.9227351170891841</v>
      </c>
      <c r="D57" s="172">
        <v>306.27999999999997</v>
      </c>
      <c r="E57" s="171">
        <f>C57*D57</f>
        <v>282.61531166207527</v>
      </c>
      <c r="F57" s="63"/>
    </row>
    <row r="58" spans="1:6" ht="12.75" customHeight="1" x14ac:dyDescent="0.2">
      <c r="A58" s="248" t="s">
        <v>207</v>
      </c>
      <c r="B58" s="249"/>
      <c r="C58" s="250"/>
      <c r="D58" s="251">
        <f>SUM(E54:E57)</f>
        <v>4125.132236357138</v>
      </c>
      <c r="E58" s="252"/>
      <c r="F58" s="63"/>
    </row>
    <row r="59" spans="1:6" ht="12.75" customHeight="1" x14ac:dyDescent="0.2">
      <c r="A59" s="235" t="s">
        <v>208</v>
      </c>
      <c r="B59" s="236"/>
      <c r="C59" s="236"/>
      <c r="D59" s="236"/>
      <c r="E59" s="237"/>
      <c r="F59" s="63"/>
    </row>
    <row r="60" spans="1:6" ht="12.75" customHeight="1" x14ac:dyDescent="0.2">
      <c r="A60" s="173" t="s">
        <v>136</v>
      </c>
      <c r="B60" s="174">
        <f>D60/1200</f>
        <v>0.42074166666666668</v>
      </c>
      <c r="C60" s="175">
        <f>'M2'!D11</f>
        <v>3.4472230555555563</v>
      </c>
      <c r="D60" s="176">
        <v>504.89</v>
      </c>
      <c r="E60" s="175">
        <f>C60*D60</f>
        <v>1740.4684485194448</v>
      </c>
      <c r="F60" s="63"/>
    </row>
    <row r="61" spans="1:6" ht="12.75" customHeight="1" x14ac:dyDescent="0.2">
      <c r="A61" s="173" t="s">
        <v>120</v>
      </c>
      <c r="B61" s="174">
        <f>D61/2700</f>
        <v>9.3481481481481471E-3</v>
      </c>
      <c r="C61" s="175">
        <f>'M2'!D20</f>
        <v>1.5320435802469135</v>
      </c>
      <c r="D61" s="176">
        <v>25.24</v>
      </c>
      <c r="E61" s="175">
        <f>C61*D61</f>
        <v>38.668779965432094</v>
      </c>
      <c r="F61" s="63"/>
    </row>
    <row r="62" spans="1:6" ht="12.75" customHeight="1" x14ac:dyDescent="0.2">
      <c r="A62" s="173" t="s">
        <v>190</v>
      </c>
      <c r="B62" s="174">
        <f>D62/450</f>
        <v>0</v>
      </c>
      <c r="C62" s="175">
        <f>'M2'!D29</f>
        <v>11.912572592592593</v>
      </c>
      <c r="D62" s="176">
        <v>0</v>
      </c>
      <c r="E62" s="175">
        <f>C62*D62</f>
        <v>0</v>
      </c>
      <c r="F62" s="63"/>
    </row>
    <row r="63" spans="1:6" ht="12.75" customHeight="1" x14ac:dyDescent="0.2">
      <c r="A63" s="173" t="s">
        <v>186</v>
      </c>
      <c r="B63" s="174">
        <f>D63/380/15</f>
        <v>3.4405263157894737E-2</v>
      </c>
      <c r="C63" s="175">
        <f>'M2'!G40</f>
        <v>0.9227351170891841</v>
      </c>
      <c r="D63" s="176">
        <v>196.11</v>
      </c>
      <c r="E63" s="175">
        <f>C63*D63</f>
        <v>180.9575838123599</v>
      </c>
      <c r="F63" s="63"/>
    </row>
    <row r="64" spans="1:6" ht="12.75" customHeight="1" x14ac:dyDescent="0.2">
      <c r="A64" s="238" t="s">
        <v>209</v>
      </c>
      <c r="B64" s="239"/>
      <c r="C64" s="240"/>
      <c r="D64" s="241">
        <f>SUM(E60:E63)</f>
        <v>1960.0948122972368</v>
      </c>
      <c r="E64" s="242"/>
      <c r="F64" s="63"/>
    </row>
    <row r="65" spans="1:6" ht="12.75" customHeight="1" x14ac:dyDescent="0.2">
      <c r="A65" s="245" t="s">
        <v>210</v>
      </c>
      <c r="B65" s="246"/>
      <c r="C65" s="246"/>
      <c r="D65" s="246"/>
      <c r="E65" s="247"/>
      <c r="F65" s="63"/>
    </row>
    <row r="66" spans="1:6" ht="12.75" customHeight="1" x14ac:dyDescent="0.2">
      <c r="A66" s="170" t="s">
        <v>136</v>
      </c>
      <c r="B66" s="169">
        <f>D66/1200</f>
        <v>0.50265833333333343</v>
      </c>
      <c r="C66" s="171">
        <f>'M2'!D11</f>
        <v>3.4472230555555563</v>
      </c>
      <c r="D66" s="172">
        <v>603.19000000000005</v>
      </c>
      <c r="E66" s="171">
        <f>C66*D66</f>
        <v>2079.3304748805563</v>
      </c>
      <c r="F66" s="63"/>
    </row>
    <row r="67" spans="1:6" ht="12.75" customHeight="1" x14ac:dyDescent="0.2">
      <c r="A67" s="170" t="s">
        <v>120</v>
      </c>
      <c r="B67" s="169">
        <f>D67/2700</f>
        <v>1.117037037037037E-2</v>
      </c>
      <c r="C67" s="171">
        <f>'M2'!D20</f>
        <v>1.5320435802469135</v>
      </c>
      <c r="D67" s="172">
        <v>30.16</v>
      </c>
      <c r="E67" s="171">
        <f>C67*D67</f>
        <v>46.206434380246911</v>
      </c>
      <c r="F67" s="63"/>
    </row>
    <row r="68" spans="1:6" ht="12.75" customHeight="1" x14ac:dyDescent="0.2">
      <c r="A68" s="170" t="s">
        <v>190</v>
      </c>
      <c r="B68" s="169">
        <f>D68/450</f>
        <v>0</v>
      </c>
      <c r="C68" s="171">
        <f>'M2'!D29</f>
        <v>11.912572592592593</v>
      </c>
      <c r="D68" s="172">
        <v>0</v>
      </c>
      <c r="E68" s="171">
        <f>C68*D68</f>
        <v>0</v>
      </c>
      <c r="F68" s="63"/>
    </row>
    <row r="69" spans="1:6" ht="12.75" customHeight="1" x14ac:dyDescent="0.2">
      <c r="A69" s="170" t="s">
        <v>186</v>
      </c>
      <c r="B69" s="169">
        <f>D69/380/15</f>
        <v>2.862631578947368E-2</v>
      </c>
      <c r="C69" s="171">
        <f>'M2'!G40</f>
        <v>0.9227351170891841</v>
      </c>
      <c r="D69" s="172">
        <v>163.16999999999999</v>
      </c>
      <c r="E69" s="171">
        <f>C69*D69</f>
        <v>150.56268905544215</v>
      </c>
      <c r="F69" s="63"/>
    </row>
    <row r="70" spans="1:6" ht="12.75" customHeight="1" x14ac:dyDescent="0.2">
      <c r="A70" s="248" t="s">
        <v>211</v>
      </c>
      <c r="B70" s="249"/>
      <c r="C70" s="250"/>
      <c r="D70" s="251">
        <f>SUM(E66:E69)</f>
        <v>2276.0995983162452</v>
      </c>
      <c r="E70" s="252"/>
      <c r="F70" s="63"/>
    </row>
    <row r="71" spans="1:6" ht="12.75" customHeight="1" x14ac:dyDescent="0.2">
      <c r="A71" s="235" t="s">
        <v>212</v>
      </c>
      <c r="B71" s="236"/>
      <c r="C71" s="236"/>
      <c r="D71" s="236"/>
      <c r="E71" s="237"/>
      <c r="F71" s="63"/>
    </row>
    <row r="72" spans="1:6" ht="12.75" customHeight="1" x14ac:dyDescent="0.2">
      <c r="A72" s="173" t="s">
        <v>136</v>
      </c>
      <c r="B72" s="174">
        <f>D72/1200</f>
        <v>0.16614999999999999</v>
      </c>
      <c r="C72" s="175">
        <f>'M2'!D11</f>
        <v>3.4472230555555563</v>
      </c>
      <c r="D72" s="176">
        <v>199.38</v>
      </c>
      <c r="E72" s="175">
        <f>C72*D72</f>
        <v>687.30733281666676</v>
      </c>
      <c r="F72" s="63"/>
    </row>
    <row r="73" spans="1:6" ht="12.75" customHeight="1" x14ac:dyDescent="0.2">
      <c r="A73" s="173" t="s">
        <v>120</v>
      </c>
      <c r="B73" s="174">
        <f>D73/2700</f>
        <v>3.6925925925925928E-3</v>
      </c>
      <c r="C73" s="175">
        <f>'M2'!D20</f>
        <v>1.5320435802469135</v>
      </c>
      <c r="D73" s="176">
        <v>9.9700000000000006</v>
      </c>
      <c r="E73" s="175">
        <f>C73*D73</f>
        <v>15.274474495061728</v>
      </c>
      <c r="F73" s="63"/>
    </row>
    <row r="74" spans="1:6" ht="12.75" customHeight="1" x14ac:dyDescent="0.2">
      <c r="A74" s="173" t="s">
        <v>190</v>
      </c>
      <c r="B74" s="174">
        <f>D74/450</f>
        <v>0</v>
      </c>
      <c r="C74" s="175">
        <f>'M2'!D29</f>
        <v>11.912572592592593</v>
      </c>
      <c r="D74" s="176">
        <v>0</v>
      </c>
      <c r="E74" s="175">
        <f>C74*D74</f>
        <v>0</v>
      </c>
      <c r="F74" s="63"/>
    </row>
    <row r="75" spans="1:6" ht="12.75" customHeight="1" x14ac:dyDescent="0.2">
      <c r="A75" s="173" t="s">
        <v>186</v>
      </c>
      <c r="B75" s="174">
        <f>D75/380/15</f>
        <v>1.1619298245614036E-2</v>
      </c>
      <c r="C75" s="175">
        <f>'M2'!G40</f>
        <v>0.9227351170891841</v>
      </c>
      <c r="D75" s="176">
        <v>66.23</v>
      </c>
      <c r="E75" s="175">
        <f>C75*D75</f>
        <v>61.112746804816666</v>
      </c>
      <c r="F75" s="63"/>
    </row>
    <row r="76" spans="1:6" ht="12.75" customHeight="1" x14ac:dyDescent="0.2">
      <c r="A76" s="238" t="s">
        <v>213</v>
      </c>
      <c r="B76" s="239"/>
      <c r="C76" s="240"/>
      <c r="D76" s="241">
        <f>SUM(E72:E75)</f>
        <v>763.69455411654519</v>
      </c>
      <c r="E76" s="242"/>
      <c r="F76" s="63"/>
    </row>
    <row r="77" spans="1:6" ht="12.75" customHeight="1" x14ac:dyDescent="0.2">
      <c r="A77" s="245" t="s">
        <v>214</v>
      </c>
      <c r="B77" s="246"/>
      <c r="C77" s="246"/>
      <c r="D77" s="246"/>
      <c r="E77" s="247"/>
      <c r="F77" s="63"/>
    </row>
    <row r="78" spans="1:6" ht="12.75" customHeight="1" x14ac:dyDescent="0.2">
      <c r="A78" s="170" t="s">
        <v>136</v>
      </c>
      <c r="B78" s="169">
        <f>D78/1200</f>
        <v>0.52917499999999995</v>
      </c>
      <c r="C78" s="171">
        <f>'M2'!D11</f>
        <v>3.4472230555555563</v>
      </c>
      <c r="D78" s="172">
        <v>635.01</v>
      </c>
      <c r="E78" s="171">
        <f>C78*D78</f>
        <v>2189.0211125083338</v>
      </c>
      <c r="F78" s="63"/>
    </row>
    <row r="79" spans="1:6" ht="12.75" customHeight="1" x14ac:dyDescent="0.2">
      <c r="A79" s="170" t="s">
        <v>120</v>
      </c>
      <c r="B79" s="169">
        <f>D79/2700</f>
        <v>1.1759259259259259E-2</v>
      </c>
      <c r="C79" s="171">
        <f>'M2'!D20</f>
        <v>1.5320435802469135</v>
      </c>
      <c r="D79" s="172">
        <v>31.75</v>
      </c>
      <c r="E79" s="171">
        <f>C79*D79</f>
        <v>48.6423836728395</v>
      </c>
      <c r="F79" s="63"/>
    </row>
    <row r="80" spans="1:6" ht="12.75" customHeight="1" x14ac:dyDescent="0.2">
      <c r="A80" s="170" t="s">
        <v>190</v>
      </c>
      <c r="B80" s="169">
        <f>D80/450</f>
        <v>0</v>
      </c>
      <c r="C80" s="171">
        <f>'M2'!D29</f>
        <v>11.912572592592593</v>
      </c>
      <c r="D80" s="172">
        <v>0</v>
      </c>
      <c r="E80" s="171">
        <f>C80*D80</f>
        <v>0</v>
      </c>
      <c r="F80" s="63"/>
    </row>
    <row r="81" spans="1:6" ht="12.75" customHeight="1" x14ac:dyDescent="0.2">
      <c r="A81" s="170" t="s">
        <v>186</v>
      </c>
      <c r="B81" s="169">
        <f>D81/380/15</f>
        <v>0</v>
      </c>
      <c r="C81" s="171">
        <f>'M2'!G40</f>
        <v>0.9227351170891841</v>
      </c>
      <c r="D81" s="172">
        <v>0</v>
      </c>
      <c r="E81" s="171">
        <f>C81*D81</f>
        <v>0</v>
      </c>
      <c r="F81" s="63"/>
    </row>
    <row r="82" spans="1:6" ht="12.75" customHeight="1" x14ac:dyDescent="0.2">
      <c r="A82" s="248" t="s">
        <v>215</v>
      </c>
      <c r="B82" s="249"/>
      <c r="C82" s="250"/>
      <c r="D82" s="251">
        <f>SUM(E78:E81)</f>
        <v>2237.6634961811733</v>
      </c>
      <c r="E82" s="252"/>
      <c r="F82" s="63"/>
    </row>
    <row r="83" spans="1:6" ht="12.75" customHeight="1" x14ac:dyDescent="0.2">
      <c r="A83" s="235" t="s">
        <v>216</v>
      </c>
      <c r="B83" s="236"/>
      <c r="C83" s="236"/>
      <c r="D83" s="236"/>
      <c r="E83" s="237"/>
      <c r="F83" s="63"/>
    </row>
    <row r="84" spans="1:6" ht="12.75" customHeight="1" x14ac:dyDescent="0.2">
      <c r="A84" s="173" t="s">
        <v>136</v>
      </c>
      <c r="B84" s="174">
        <f>D84/1200</f>
        <v>0</v>
      </c>
      <c r="C84" s="175">
        <f>'M2'!D11</f>
        <v>3.4472230555555563</v>
      </c>
      <c r="D84" s="176">
        <v>0</v>
      </c>
      <c r="E84" s="175">
        <f>C84*D84</f>
        <v>0</v>
      </c>
      <c r="F84" s="63"/>
    </row>
    <row r="85" spans="1:6" ht="12.75" customHeight="1" x14ac:dyDescent="0.2">
      <c r="A85" s="173" t="s">
        <v>120</v>
      </c>
      <c r="B85" s="174">
        <f>D85/2700</f>
        <v>0.12962962962962962</v>
      </c>
      <c r="C85" s="175">
        <f>'M2'!D20</f>
        <v>1.5320435802469135</v>
      </c>
      <c r="D85" s="176">
        <v>350</v>
      </c>
      <c r="E85" s="175">
        <f>C85*D85</f>
        <v>536.21525308641969</v>
      </c>
      <c r="F85" s="63"/>
    </row>
    <row r="86" spans="1:6" ht="12.75" customHeight="1" x14ac:dyDescent="0.2">
      <c r="A86" s="173" t="s">
        <v>190</v>
      </c>
      <c r="B86" s="174">
        <f>D86/450</f>
        <v>0</v>
      </c>
      <c r="C86" s="175">
        <f>'M2'!D29</f>
        <v>11.912572592592593</v>
      </c>
      <c r="D86" s="176">
        <v>0</v>
      </c>
      <c r="E86" s="175">
        <f>C86*D86</f>
        <v>0</v>
      </c>
      <c r="F86" s="63"/>
    </row>
    <row r="87" spans="1:6" ht="12.75" customHeight="1" x14ac:dyDescent="0.2">
      <c r="A87" s="173" t="s">
        <v>186</v>
      </c>
      <c r="B87" s="174">
        <f>D87/380/15</f>
        <v>0</v>
      </c>
      <c r="C87" s="175">
        <f>'M2'!G40</f>
        <v>0.9227351170891841</v>
      </c>
      <c r="D87" s="176">
        <v>0</v>
      </c>
      <c r="E87" s="175">
        <f>C87*D87</f>
        <v>0</v>
      </c>
      <c r="F87" s="63"/>
    </row>
    <row r="88" spans="1:6" ht="12.75" customHeight="1" x14ac:dyDescent="0.2">
      <c r="A88" s="238" t="s">
        <v>217</v>
      </c>
      <c r="B88" s="239"/>
      <c r="C88" s="240"/>
      <c r="D88" s="241">
        <f>SUM(E84:E87)</f>
        <v>536.21525308641969</v>
      </c>
      <c r="E88" s="242"/>
      <c r="F88" s="63"/>
    </row>
    <row r="89" spans="1:6" ht="12.75" customHeight="1" x14ac:dyDescent="0.2">
      <c r="A89" s="245" t="s">
        <v>218</v>
      </c>
      <c r="B89" s="246"/>
      <c r="C89" s="246"/>
      <c r="D89" s="246"/>
      <c r="E89" s="247"/>
      <c r="F89" s="63"/>
    </row>
    <row r="90" spans="1:6" ht="12.75" customHeight="1" x14ac:dyDescent="0.2">
      <c r="A90" s="170" t="s">
        <v>136</v>
      </c>
      <c r="B90" s="169">
        <f>D90/1200</f>
        <v>0.29263333333333336</v>
      </c>
      <c r="C90" s="171">
        <f>'M2'!D11</f>
        <v>3.4472230555555563</v>
      </c>
      <c r="D90" s="172">
        <v>351.16</v>
      </c>
      <c r="E90" s="171">
        <f>C90*D90</f>
        <v>1210.5268481888893</v>
      </c>
      <c r="F90" s="63"/>
    </row>
    <row r="91" spans="1:6" ht="12.75" customHeight="1" x14ac:dyDescent="0.2">
      <c r="A91" s="170" t="s">
        <v>120</v>
      </c>
      <c r="B91" s="169">
        <f>D91/2700</f>
        <v>6.5037037037037034E-3</v>
      </c>
      <c r="C91" s="171">
        <f>'M2'!D20</f>
        <v>1.5320435802469135</v>
      </c>
      <c r="D91" s="172">
        <v>17.559999999999999</v>
      </c>
      <c r="E91" s="171">
        <f>C91*D91</f>
        <v>26.902685269135798</v>
      </c>
      <c r="F91" s="63"/>
    </row>
    <row r="92" spans="1:6" ht="12.75" customHeight="1" x14ac:dyDescent="0.2">
      <c r="A92" s="170" t="s">
        <v>190</v>
      </c>
      <c r="B92" s="169">
        <f>D92/450</f>
        <v>0</v>
      </c>
      <c r="C92" s="171">
        <f>'M2'!D29</f>
        <v>11.912572592592593</v>
      </c>
      <c r="D92" s="172">
        <v>0</v>
      </c>
      <c r="E92" s="171">
        <f>C92*D92</f>
        <v>0</v>
      </c>
      <c r="F92" s="63"/>
    </row>
    <row r="93" spans="1:6" ht="12.75" customHeight="1" x14ac:dyDescent="0.2">
      <c r="A93" s="170" t="s">
        <v>186</v>
      </c>
      <c r="B93" s="169">
        <f>D93/380/15</f>
        <v>1.1859649122807016E-2</v>
      </c>
      <c r="C93" s="171">
        <f>'M2'!G40</f>
        <v>0.9227351170891841</v>
      </c>
      <c r="D93" s="172">
        <v>67.599999999999994</v>
      </c>
      <c r="E93" s="171">
        <f>C93*D93</f>
        <v>62.376893915228841</v>
      </c>
      <c r="F93" s="63"/>
    </row>
    <row r="94" spans="1:6" ht="12.75" customHeight="1" x14ac:dyDescent="0.2">
      <c r="A94" s="248" t="s">
        <v>219</v>
      </c>
      <c r="B94" s="249"/>
      <c r="C94" s="250"/>
      <c r="D94" s="251">
        <f>SUM(E90:E93)</f>
        <v>1299.8064273732541</v>
      </c>
      <c r="E94" s="252"/>
      <c r="F94" s="63"/>
    </row>
    <row r="95" spans="1:6" ht="12.75" customHeight="1" x14ac:dyDescent="0.2">
      <c r="A95" s="235" t="s">
        <v>220</v>
      </c>
      <c r="B95" s="236"/>
      <c r="C95" s="236"/>
      <c r="D95" s="236"/>
      <c r="E95" s="237"/>
      <c r="F95" s="63"/>
    </row>
    <row r="96" spans="1:6" ht="12.75" customHeight="1" x14ac:dyDescent="0.2">
      <c r="A96" s="173" t="s">
        <v>136</v>
      </c>
      <c r="B96" s="174">
        <f>D96/1200</f>
        <v>0.39413333333333334</v>
      </c>
      <c r="C96" s="175">
        <f>'M2'!D11</f>
        <v>3.4472230555555563</v>
      </c>
      <c r="D96" s="176">
        <v>472.96</v>
      </c>
      <c r="E96" s="175">
        <f>C96*D96</f>
        <v>1630.3986163555558</v>
      </c>
      <c r="F96" s="63"/>
    </row>
    <row r="97" spans="1:6" ht="12.75" customHeight="1" x14ac:dyDescent="0.2">
      <c r="A97" s="173" t="s">
        <v>120</v>
      </c>
      <c r="B97" s="174">
        <f>D97/2700</f>
        <v>2.2522222222222225E-2</v>
      </c>
      <c r="C97" s="175">
        <f>'M2'!D20</f>
        <v>1.5320435802469135</v>
      </c>
      <c r="D97" s="176">
        <v>60.81</v>
      </c>
      <c r="E97" s="175">
        <f>C97*D97</f>
        <v>93.163570114814817</v>
      </c>
      <c r="F97" s="63"/>
    </row>
    <row r="98" spans="1:6" ht="12.75" customHeight="1" x14ac:dyDescent="0.2">
      <c r="A98" s="173" t="s">
        <v>190</v>
      </c>
      <c r="B98" s="174">
        <f>D98/450</f>
        <v>1.6517111111111111</v>
      </c>
      <c r="C98" s="175">
        <f>'M2'!D29</f>
        <v>11.912572592592593</v>
      </c>
      <c r="D98" s="176">
        <v>743.27</v>
      </c>
      <c r="E98" s="175">
        <f>C98*D98</f>
        <v>8854.2578308962966</v>
      </c>
      <c r="F98" s="63"/>
    </row>
    <row r="99" spans="1:6" ht="12.75" customHeight="1" x14ac:dyDescent="0.2">
      <c r="A99" s="173" t="s">
        <v>186</v>
      </c>
      <c r="B99" s="174">
        <f>D99/380/15</f>
        <v>2.2084210526315786E-2</v>
      </c>
      <c r="C99" s="175">
        <f>'M2'!G40</f>
        <v>0.9227351170891841</v>
      </c>
      <c r="D99" s="176">
        <v>125.88</v>
      </c>
      <c r="E99" s="175">
        <f>C99*D99</f>
        <v>116.15389653918649</v>
      </c>
      <c r="F99" s="63"/>
    </row>
    <row r="100" spans="1:6" ht="12.75" customHeight="1" x14ac:dyDescent="0.2">
      <c r="A100" s="238" t="s">
        <v>221</v>
      </c>
      <c r="B100" s="239"/>
      <c r="C100" s="240"/>
      <c r="D100" s="241">
        <f>SUM(E96:E99)</f>
        <v>10693.973913905853</v>
      </c>
      <c r="E100" s="242"/>
      <c r="F100" s="63"/>
    </row>
    <row r="101" spans="1:6" ht="12.75" customHeight="1" x14ac:dyDescent="0.2">
      <c r="A101" s="245" t="s">
        <v>222</v>
      </c>
      <c r="B101" s="246"/>
      <c r="C101" s="246"/>
      <c r="D101" s="246"/>
      <c r="E101" s="247"/>
      <c r="F101" s="63"/>
    </row>
    <row r="102" spans="1:6" ht="12.75" customHeight="1" x14ac:dyDescent="0.2">
      <c r="A102" s="170" t="s">
        <v>136</v>
      </c>
      <c r="B102" s="169">
        <f>D102/1200</f>
        <v>0</v>
      </c>
      <c r="C102" s="171">
        <f>'M2'!D11</f>
        <v>3.4472230555555563</v>
      </c>
      <c r="D102" s="172">
        <v>0</v>
      </c>
      <c r="E102" s="171">
        <f>C102*D102</f>
        <v>0</v>
      </c>
      <c r="F102" s="63"/>
    </row>
    <row r="103" spans="1:6" ht="12.75" customHeight="1" x14ac:dyDescent="0.2">
      <c r="A103" s="170" t="s">
        <v>120</v>
      </c>
      <c r="B103" s="169">
        <f>D103/2700</f>
        <v>4.1611111111111106E-2</v>
      </c>
      <c r="C103" s="171">
        <f>'M2'!D20</f>
        <v>1.5320435802469135</v>
      </c>
      <c r="D103" s="172">
        <v>112.35</v>
      </c>
      <c r="E103" s="171">
        <f>C103*D103</f>
        <v>172.12509624074073</v>
      </c>
      <c r="F103" s="63"/>
    </row>
    <row r="104" spans="1:6" ht="12.75" customHeight="1" x14ac:dyDescent="0.2">
      <c r="A104" s="170" t="s">
        <v>190</v>
      </c>
      <c r="B104" s="169">
        <f>D104/450</f>
        <v>4.9934000000000003</v>
      </c>
      <c r="C104" s="171">
        <f>'M2'!D29</f>
        <v>11.912572592592593</v>
      </c>
      <c r="D104" s="172">
        <v>2247.0300000000002</v>
      </c>
      <c r="E104" s="171">
        <f>C104*D104</f>
        <v>26767.907992733337</v>
      </c>
      <c r="F104" s="63"/>
    </row>
    <row r="105" spans="1:6" ht="12.75" customHeight="1" x14ac:dyDescent="0.2">
      <c r="A105" s="170" t="s">
        <v>186</v>
      </c>
      <c r="B105" s="169">
        <f>D105/380/15</f>
        <v>8.8396491228070181E-2</v>
      </c>
      <c r="C105" s="171">
        <f>'M2'!G40</f>
        <v>0.9227351170891841</v>
      </c>
      <c r="D105" s="172">
        <v>503.86</v>
      </c>
      <c r="E105" s="171">
        <f>C105*D105</f>
        <v>464.92931609655631</v>
      </c>
      <c r="F105" s="63"/>
    </row>
    <row r="106" spans="1:6" ht="12.75" customHeight="1" x14ac:dyDescent="0.2">
      <c r="A106" s="248" t="s">
        <v>223</v>
      </c>
      <c r="B106" s="249"/>
      <c r="C106" s="250"/>
      <c r="D106" s="251">
        <f>SUM(E102:E105)</f>
        <v>27404.962405070633</v>
      </c>
      <c r="E106" s="252"/>
      <c r="F106" s="63"/>
    </row>
    <row r="107" spans="1:6" ht="12.75" customHeight="1" x14ac:dyDescent="0.2">
      <c r="A107" s="235" t="s">
        <v>224</v>
      </c>
      <c r="B107" s="236"/>
      <c r="C107" s="236"/>
      <c r="D107" s="236"/>
      <c r="E107" s="237"/>
      <c r="F107" s="63"/>
    </row>
    <row r="108" spans="1:6" ht="12.75" customHeight="1" x14ac:dyDescent="0.2">
      <c r="A108" s="173" t="s">
        <v>136</v>
      </c>
      <c r="B108" s="174">
        <f>D108/1200</f>
        <v>0.38666666666666666</v>
      </c>
      <c r="C108" s="175">
        <f>'M2'!D11</f>
        <v>3.4472230555555563</v>
      </c>
      <c r="D108" s="176">
        <v>464</v>
      </c>
      <c r="E108" s="175">
        <f>C108*D108</f>
        <v>1599.5114977777782</v>
      </c>
      <c r="F108" s="63"/>
    </row>
    <row r="109" spans="1:6" ht="12.75" customHeight="1" x14ac:dyDescent="0.2">
      <c r="A109" s="173" t="s">
        <v>120</v>
      </c>
      <c r="B109" s="174">
        <f>D109/2700</f>
        <v>8.5925925925925926E-3</v>
      </c>
      <c r="C109" s="175">
        <f>'M2'!D20</f>
        <v>1.5320435802469135</v>
      </c>
      <c r="D109" s="176">
        <v>23.2</v>
      </c>
      <c r="E109" s="175">
        <f>C109*D109</f>
        <v>35.543411061728392</v>
      </c>
      <c r="F109" s="63"/>
    </row>
    <row r="110" spans="1:6" ht="12.75" customHeight="1" x14ac:dyDescent="0.2">
      <c r="A110" s="173" t="s">
        <v>190</v>
      </c>
      <c r="B110" s="174">
        <f>D110/450</f>
        <v>0</v>
      </c>
      <c r="C110" s="175">
        <f>'M2'!D29</f>
        <v>11.912572592592593</v>
      </c>
      <c r="D110" s="176">
        <v>0</v>
      </c>
      <c r="E110" s="175">
        <f>C110*D110</f>
        <v>0</v>
      </c>
      <c r="F110" s="63"/>
    </row>
    <row r="111" spans="1:6" ht="12.75" customHeight="1" x14ac:dyDescent="0.2">
      <c r="A111" s="173" t="s">
        <v>186</v>
      </c>
      <c r="B111" s="174">
        <f>D111/380/15</f>
        <v>1.9563157894736841E-2</v>
      </c>
      <c r="C111" s="175">
        <f>'M2'!G40</f>
        <v>0.9227351170891841</v>
      </c>
      <c r="D111" s="176">
        <v>111.51</v>
      </c>
      <c r="E111" s="175">
        <f>C111*D111</f>
        <v>102.89419290661492</v>
      </c>
      <c r="F111" s="63"/>
    </row>
    <row r="112" spans="1:6" x14ac:dyDescent="0.2">
      <c r="A112" s="238" t="s">
        <v>225</v>
      </c>
      <c r="B112" s="239"/>
      <c r="C112" s="240"/>
      <c r="D112" s="241">
        <f>SUM(E108:E111)</f>
        <v>1737.9491017461216</v>
      </c>
      <c r="E112" s="242"/>
    </row>
    <row r="113" spans="1:9" ht="12.75" customHeight="1" x14ac:dyDescent="0.2">
      <c r="A113" s="180"/>
      <c r="B113" s="183">
        <f>SUM(B6+B7+B8+B9+B12+B13+B14+B15+B18+B19+B20+B21+B24+B26+B25+B27+B30+B31+B32+B33+B36+B37+B38+B39+B42+B43+B44+B45+B48+B49+B50+B51+B54+B55+B56+B57+B60+B61+B62+B63+B66+B67+B68+B69+B72+B73+B74+B75+B78+B79+B80+B81+B84+B85+B86+B87+B90+B91+B92+B93+B96+B97+B98+B99+B102+B103+B104+B105+B108+B109+B110+B111)</f>
        <v>17.673590692007796</v>
      </c>
      <c r="C113" s="243" t="s">
        <v>229</v>
      </c>
      <c r="D113" s="244"/>
      <c r="E113" s="181">
        <f>SUM(D10+D16+D22+D28+D34+D40+D46+D52+D58+D64+D70+D76+D82+D88+D94+D100+D106+D112)</f>
        <v>83695.204178620872</v>
      </c>
      <c r="F113" s="120">
        <v>83700</v>
      </c>
      <c r="G113" s="146"/>
      <c r="H113" s="147"/>
      <c r="I113" s="120"/>
    </row>
    <row r="114" spans="1:9" x14ac:dyDescent="0.2">
      <c r="A114" s="260"/>
      <c r="B114" s="260"/>
      <c r="C114" s="182" t="s">
        <v>137</v>
      </c>
      <c r="D114" s="260" t="s">
        <v>138</v>
      </c>
      <c r="E114" s="260"/>
    </row>
    <row r="115" spans="1:9" x14ac:dyDescent="0.2">
      <c r="A115" s="259">
        <f>E113</f>
        <v>83695.204178620872</v>
      </c>
      <c r="B115" s="259"/>
      <c r="C115" s="141">
        <v>12</v>
      </c>
      <c r="D115" s="261">
        <f>E113*12</f>
        <v>1004342.4501434504</v>
      </c>
      <c r="E115" s="261"/>
    </row>
    <row r="116" spans="1:9" x14ac:dyDescent="0.2">
      <c r="A116" s="131"/>
      <c r="B116" s="131"/>
      <c r="C116" s="131"/>
      <c r="D116" s="131"/>
      <c r="E116" s="131"/>
    </row>
    <row r="117" spans="1:9" x14ac:dyDescent="0.2">
      <c r="A117" s="131"/>
      <c r="B117" s="131"/>
      <c r="C117" s="131"/>
      <c r="D117" s="131"/>
      <c r="E117" s="131"/>
    </row>
    <row r="118" spans="1:9" x14ac:dyDescent="0.2">
      <c r="A118" s="131"/>
      <c r="B118" s="131"/>
      <c r="C118" s="131"/>
      <c r="D118" s="131"/>
      <c r="E118" s="131"/>
    </row>
    <row r="119" spans="1:9" x14ac:dyDescent="0.2">
      <c r="A119" s="131"/>
      <c r="B119" s="131"/>
      <c r="C119" s="131"/>
      <c r="D119" s="131"/>
      <c r="E119" s="131"/>
    </row>
    <row r="121" spans="1:9" x14ac:dyDescent="0.2">
      <c r="B121" s="59"/>
      <c r="C121" s="59"/>
    </row>
    <row r="122" spans="1:9" x14ac:dyDescent="0.2">
      <c r="B122" s="59"/>
      <c r="C122" s="59"/>
    </row>
    <row r="123" spans="1:9" x14ac:dyDescent="0.2">
      <c r="B123" s="59"/>
      <c r="C123" s="59"/>
    </row>
    <row r="124" spans="1:9" x14ac:dyDescent="0.2">
      <c r="B124" s="59"/>
      <c r="C124" s="59"/>
    </row>
  </sheetData>
  <mergeCells count="62">
    <mergeCell ref="A1:E1"/>
    <mergeCell ref="A115:B115"/>
    <mergeCell ref="D114:E114"/>
    <mergeCell ref="D115:E115"/>
    <mergeCell ref="A2:A4"/>
    <mergeCell ref="B2:B4"/>
    <mergeCell ref="A114:B114"/>
    <mergeCell ref="A5:E5"/>
    <mergeCell ref="A11:E11"/>
    <mergeCell ref="A17:E17"/>
    <mergeCell ref="A23:E23"/>
    <mergeCell ref="A29:E29"/>
    <mergeCell ref="A10:C10"/>
    <mergeCell ref="D10:E10"/>
    <mergeCell ref="A16:C16"/>
    <mergeCell ref="D16:E16"/>
    <mergeCell ref="A22:C22"/>
    <mergeCell ref="D22:E22"/>
    <mergeCell ref="A28:C28"/>
    <mergeCell ref="D28:E28"/>
    <mergeCell ref="A34:C34"/>
    <mergeCell ref="D34:E34"/>
    <mergeCell ref="A35:E35"/>
    <mergeCell ref="A40:C40"/>
    <mergeCell ref="D40:E40"/>
    <mergeCell ref="A41:E41"/>
    <mergeCell ref="A46:C46"/>
    <mergeCell ref="D46:E46"/>
    <mergeCell ref="A47:E47"/>
    <mergeCell ref="A52:C52"/>
    <mergeCell ref="D52:E52"/>
    <mergeCell ref="A53:E53"/>
    <mergeCell ref="A58:C58"/>
    <mergeCell ref="D58:E58"/>
    <mergeCell ref="A59:E59"/>
    <mergeCell ref="A64:C64"/>
    <mergeCell ref="D64:E64"/>
    <mergeCell ref="A65:E65"/>
    <mergeCell ref="A70:C70"/>
    <mergeCell ref="D70:E70"/>
    <mergeCell ref="A71:E71"/>
    <mergeCell ref="A76:C76"/>
    <mergeCell ref="D76:E76"/>
    <mergeCell ref="A77:E77"/>
    <mergeCell ref="A82:C82"/>
    <mergeCell ref="D82:E82"/>
    <mergeCell ref="A83:E83"/>
    <mergeCell ref="A88:C88"/>
    <mergeCell ref="D88:E88"/>
    <mergeCell ref="A89:E89"/>
    <mergeCell ref="A94:C94"/>
    <mergeCell ref="D94:E94"/>
    <mergeCell ref="A95:E95"/>
    <mergeCell ref="A100:C100"/>
    <mergeCell ref="D100:E100"/>
    <mergeCell ref="C113:D113"/>
    <mergeCell ref="A101:E101"/>
    <mergeCell ref="A106:C106"/>
    <mergeCell ref="D106:E106"/>
    <mergeCell ref="A107:E107"/>
    <mergeCell ref="A112:C112"/>
    <mergeCell ref="D112:E112"/>
  </mergeCells>
  <pageMargins left="0.51181102362204722" right="0.51181102362204722" top="0.78740157480314965" bottom="0.78740157480314965" header="0.31496062992125984" footer="0.31496062992125984"/>
  <pageSetup paperSize="9" scale="96" orientation="portrait" r:id="rId1"/>
  <rowBreaks count="1" manualBreakCount="1">
    <brk id="58" max="4" man="1"/>
  </rowBreaks>
  <colBreaks count="1" manualBreakCount="1">
    <brk id="5" max="4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34937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7</vt:i4>
      </vt:variant>
    </vt:vector>
  </HeadingPairs>
  <TitlesOfParts>
    <vt:vector size="16" baseType="lpstr">
      <vt:lpstr>ASG INTERNA</vt:lpstr>
      <vt:lpstr>ASG EXTERNA</vt:lpstr>
      <vt:lpstr>ASG LABORATÓRIO</vt:lpstr>
      <vt:lpstr>ASG ESQUADRIA</vt:lpstr>
      <vt:lpstr>ENCARREGADO</vt:lpstr>
      <vt:lpstr>PRODUTIVIDADE</vt:lpstr>
      <vt:lpstr>Uniforme</vt:lpstr>
      <vt:lpstr>M2</vt:lpstr>
      <vt:lpstr>Resumo</vt:lpstr>
      <vt:lpstr>'ASG ESQUADRIA'!Area_de_impressao</vt:lpstr>
      <vt:lpstr>'ASG EXTERNA'!Area_de_impressao</vt:lpstr>
      <vt:lpstr>'ASG INTERNA'!Area_de_impressao</vt:lpstr>
      <vt:lpstr>'ASG LABORATÓRIO'!Area_de_impressao</vt:lpstr>
      <vt:lpstr>ENCARREGADO!Area_de_impressao</vt:lpstr>
      <vt:lpstr>Resumo!Area_de_impressao</vt:lpstr>
      <vt:lpstr>Uniforme!Area_de_impressao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Décimo Scolari</dc:creator>
  <cp:lastModifiedBy>Fabio Mendonça</cp:lastModifiedBy>
  <cp:revision>15</cp:revision>
  <cp:lastPrinted>2023-09-01T21:20:54Z</cp:lastPrinted>
  <dcterms:created xsi:type="dcterms:W3CDTF">2002-08-02T17:23:10Z</dcterms:created>
  <dcterms:modified xsi:type="dcterms:W3CDTF">2023-09-01T21:26:54Z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TC010219761046</vt:lpwstr>
  </property>
</Properties>
</file>